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austeja-vi\Desktop\"/>
    </mc:Choice>
  </mc:AlternateContent>
  <xr:revisionPtr revIDLastSave="0" documentId="13_ncr:1_{38AD6368-3A50-4516-B0B8-E5EB3F472C48}" xr6:coauthVersionLast="47" xr6:coauthVersionMax="47" xr10:uidLastSave="{00000000-0000-0000-0000-000000000000}"/>
  <bookViews>
    <workbookView xWindow="-110" yWindow="-110" windowWidth="19420" windowHeight="10420" tabRatio="599" xr2:uid="{00000000-000D-0000-FFFF-FFFF00000000}"/>
  </bookViews>
  <sheets>
    <sheet name="Contracts" sheetId="7" r:id="rId1"/>
  </sheets>
  <externalReferences>
    <externalReference r:id="rId2"/>
    <externalReference r:id="rId3"/>
  </externalReferences>
  <definedNames>
    <definedName name="_xlnm._FilterDatabase" localSheetId="0" hidden="1">Contracts!$A$1:$R$162</definedName>
    <definedName name="Serhii_Kulyk">#REF!</definedName>
    <definedName name="total_cost">'[1]Worksheet 1 Project budget'!$E$56</definedName>
    <definedName name="total_cost_y1">'[1]Worksheet 1 Project budget'!$I$56</definedName>
    <definedName name="Z_96D7E6B3_806C_4656_8C3C_2100FEC401A6_.wvu.FilterData" localSheetId="0" hidden="1">Contracts!$E$1:$AA$57</definedName>
    <definedName name="Z_995F2574_60D6_4F76_A75E_A5A90F9DF862_.wvu.FilterData" localSheetId="0" hidden="1">Contracts!$E$1:$AA$57</definedName>
  </definedNames>
  <calcPr calcId="191029"/>
  <customWorkbookViews>
    <customWorkbookView name="Windows User - Personal View" guid="{96D7E6B3-806C-4656-8C3C-2100FEC401A6}" mergeInterval="0" personalView="1" maximized="1" xWindow="-8" yWindow="-8" windowWidth="1936" windowHeight="1056" activeSheetId="3"/>
    <customWorkbookView name="Jurga Skrebytė - Personal View" guid="{995F2574-60D6-4F76-A75E-A5A90F9DF862}"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7" l="1"/>
  <c r="P3" i="7"/>
  <c r="P4" i="7"/>
  <c r="P5" i="7"/>
  <c r="P6" i="7"/>
  <c r="P7" i="7"/>
  <c r="P8" i="7"/>
  <c r="P19" i="7"/>
  <c r="P21" i="7"/>
  <c r="P22" i="7"/>
  <c r="P23" i="7"/>
  <c r="P24" i="7"/>
  <c r="P26" i="7"/>
  <c r="P27" i="7"/>
  <c r="P28" i="7"/>
  <c r="P29" i="7"/>
  <c r="P30" i="7"/>
  <c r="P31" i="7"/>
  <c r="P32" i="7"/>
  <c r="P33" i="7"/>
  <c r="P34" i="7"/>
  <c r="P35" i="7"/>
  <c r="P36" i="7"/>
  <c r="P37" i="7"/>
  <c r="P39" i="7"/>
  <c r="P44" i="7"/>
  <c r="P45" i="7"/>
  <c r="P48" i="7"/>
  <c r="P50" i="7"/>
  <c r="P51" i="7"/>
  <c r="P52" i="7"/>
  <c r="P53" i="7"/>
  <c r="P54" i="7"/>
  <c r="P56" i="7"/>
  <c r="P57" i="7"/>
  <c r="P60" i="7"/>
  <c r="P62" i="7"/>
  <c r="P67" i="7"/>
  <c r="P69" i="7"/>
  <c r="P70" i="7"/>
  <c r="P75" i="7"/>
  <c r="P76" i="7"/>
  <c r="P82" i="7"/>
  <c r="P83" i="7"/>
  <c r="P84" i="7"/>
  <c r="P97" i="7"/>
  <c r="P98" i="7"/>
  <c r="P99" i="7"/>
  <c r="P104" i="7"/>
  <c r="P106" i="7"/>
  <c r="P110" i="7"/>
  <c r="P111" i="7"/>
  <c r="P114" i="7"/>
  <c r="P117" i="7"/>
  <c r="P118" i="7"/>
  <c r="P119" i="7"/>
  <c r="P120" i="7"/>
  <c r="P121" i="7"/>
  <c r="P122" i="7"/>
  <c r="P123" i="7"/>
  <c r="P124" i="7"/>
  <c r="P125" i="7"/>
  <c r="P126" i="7"/>
  <c r="P127" i="7"/>
  <c r="P128" i="7"/>
  <c r="P129" i="7"/>
  <c r="P130" i="7"/>
  <c r="P131" i="7"/>
  <c r="P132" i="7"/>
  <c r="P133" i="7"/>
  <c r="P137" i="7"/>
  <c r="P140" i="7"/>
  <c r="P142" i="7"/>
  <c r="P143" i="7"/>
  <c r="P144" i="7"/>
  <c r="P145" i="7"/>
  <c r="P151" i="7"/>
  <c r="D84" i="7"/>
  <c r="G84" i="7"/>
  <c r="H84" i="7"/>
  <c r="I84" i="7"/>
  <c r="K84" i="7"/>
  <c r="L84" i="7"/>
  <c r="M84" i="7"/>
  <c r="N84" i="7"/>
  <c r="O84" i="7"/>
  <c r="Q84" i="7"/>
  <c r="R84" i="7"/>
  <c r="C84" i="7"/>
  <c r="B84" i="7"/>
  <c r="M9" i="7"/>
  <c r="P9" i="7" s="1"/>
  <c r="M16" i="7"/>
  <c r="P16" i="7" s="1"/>
  <c r="M17" i="7"/>
  <c r="P17" i="7" s="1"/>
  <c r="M18" i="7"/>
  <c r="P18" i="7" s="1"/>
  <c r="M19" i="7"/>
  <c r="M20" i="7"/>
  <c r="P20" i="7" s="1"/>
  <c r="M25" i="7"/>
  <c r="P25" i="7" s="1"/>
  <c r="M38" i="7"/>
  <c r="P38" i="7" s="1"/>
  <c r="M40" i="7"/>
  <c r="P40" i="7" s="1"/>
  <c r="M41" i="7"/>
  <c r="P41" i="7" s="1"/>
  <c r="M42" i="7"/>
  <c r="P42" i="7" s="1"/>
  <c r="M43" i="7"/>
  <c r="P43" i="7" s="1"/>
  <c r="M46" i="7"/>
  <c r="P46" i="7" s="1"/>
  <c r="M47" i="7"/>
  <c r="P47" i="7" s="1"/>
  <c r="M49" i="7"/>
  <c r="P49" i="7" s="1"/>
  <c r="M55" i="7"/>
  <c r="P55" i="7" s="1"/>
  <c r="M58" i="7"/>
  <c r="P58" i="7" s="1"/>
  <c r="M59" i="7"/>
  <c r="P59" i="7" s="1"/>
  <c r="M61" i="7"/>
  <c r="P61" i="7" s="1"/>
  <c r="M63" i="7"/>
  <c r="P63" i="7" s="1"/>
  <c r="M64" i="7"/>
  <c r="P64" i="7" s="1"/>
  <c r="M65" i="7"/>
  <c r="P65" i="7" s="1"/>
  <c r="M66" i="7"/>
  <c r="P66" i="7" s="1"/>
  <c r="M68" i="7"/>
  <c r="P68" i="7" s="1"/>
  <c r="M71" i="7"/>
  <c r="P71" i="7" s="1"/>
  <c r="M72" i="7"/>
  <c r="P72" i="7" s="1"/>
  <c r="M73" i="7"/>
  <c r="P73" i="7" s="1"/>
  <c r="M74" i="7"/>
  <c r="P74" i="7" s="1"/>
  <c r="M77" i="7"/>
  <c r="P77" i="7" s="1"/>
  <c r="M78" i="7"/>
  <c r="P78" i="7" s="1"/>
  <c r="M79" i="7"/>
  <c r="P79" i="7" s="1"/>
  <c r="M80" i="7"/>
  <c r="P80" i="7" s="1"/>
  <c r="M81" i="7"/>
  <c r="P81" i="7" s="1"/>
  <c r="M100" i="7"/>
  <c r="P100" i="7" s="1"/>
  <c r="M101" i="7"/>
  <c r="P101" i="7" s="1"/>
  <c r="M102" i="7"/>
  <c r="P102" i="7" s="1"/>
  <c r="M103" i="7"/>
  <c r="P103" i="7" s="1"/>
  <c r="M105" i="7"/>
  <c r="P105" i="7" s="1"/>
  <c r="M107" i="7"/>
  <c r="P107" i="7" s="1"/>
  <c r="M108" i="7"/>
  <c r="P108" i="7" s="1"/>
  <c r="M109" i="7"/>
  <c r="P109" i="7" s="1"/>
  <c r="M111" i="7"/>
  <c r="M112" i="7"/>
  <c r="P112" i="7" s="1"/>
  <c r="M113" i="7"/>
  <c r="P113" i="7" s="1"/>
  <c r="M115" i="7"/>
  <c r="P115" i="7" s="1"/>
  <c r="M116" i="7"/>
  <c r="P116" i="7" s="1"/>
  <c r="M134" i="7"/>
  <c r="P134" i="7" s="1"/>
  <c r="M135" i="7"/>
  <c r="P135" i="7" s="1"/>
  <c r="M136" i="7"/>
  <c r="P136" i="7" s="1"/>
  <c r="M138" i="7"/>
  <c r="P138" i="7" s="1"/>
  <c r="M139" i="7"/>
  <c r="P139" i="7" s="1"/>
  <c r="M141" i="7"/>
  <c r="P141" i="7" s="1"/>
  <c r="M146" i="7"/>
  <c r="P146" i="7" s="1"/>
  <c r="M147" i="7"/>
  <c r="P147" i="7" s="1"/>
  <c r="M148" i="7"/>
  <c r="P148" i="7" s="1"/>
  <c r="M149" i="7"/>
  <c r="P149" i="7" s="1"/>
  <c r="M150" i="7"/>
  <c r="P150" i="7" s="1"/>
  <c r="M152" i="7"/>
  <c r="P152" i="7" s="1"/>
</calcChain>
</file>

<file path=xl/sharedStrings.xml><?xml version="1.0" encoding="utf-8"?>
<sst xmlns="http://schemas.openxmlformats.org/spreadsheetml/2006/main" count="1205" uniqueCount="351">
  <si>
    <t>Per diems</t>
  </si>
  <si>
    <t>Service contract</t>
  </si>
  <si>
    <t>Type of contract</t>
  </si>
  <si>
    <t>Per diems within Ukraine</t>
  </si>
  <si>
    <t>HB days, %</t>
  </si>
  <si>
    <t>PE Olga Malysh</t>
  </si>
  <si>
    <t>2019/4-1-161</t>
  </si>
  <si>
    <t>2019/4-1-134</t>
  </si>
  <si>
    <t>2019/4-1-128</t>
  </si>
  <si>
    <t>The beginning of implementation period</t>
  </si>
  <si>
    <t>The end of implementation period</t>
  </si>
  <si>
    <t>Service contract (monthly rate)</t>
  </si>
  <si>
    <t>2019/4-1-167</t>
  </si>
  <si>
    <t>2019/4-1-168</t>
  </si>
  <si>
    <t>2019/4-1-172</t>
  </si>
  <si>
    <t>2019/4-1-241</t>
  </si>
  <si>
    <t>2019/4-1-229</t>
  </si>
  <si>
    <t>2020/4-1-8</t>
  </si>
  <si>
    <t>Year</t>
  </si>
  <si>
    <t>Daily/
monthly rate</t>
  </si>
  <si>
    <t>2020/4-1-30</t>
  </si>
  <si>
    <t>2019/4-1-228</t>
  </si>
  <si>
    <t>2020/4-1-60</t>
  </si>
  <si>
    <t>2020/4-1-61</t>
  </si>
  <si>
    <t>2020/4-1-9
2020/4-1-36 (dėl dalyvavimo pažintiniuose vizituose)</t>
  </si>
  <si>
    <t>2020/4-1-76 (dėl dalyvavimo pažintiniuose vizituose)</t>
  </si>
  <si>
    <t>Legal services</t>
  </si>
  <si>
    <t>2020/4-1-66</t>
  </si>
  <si>
    <t>2020/4-1-99</t>
  </si>
  <si>
    <t>2020/4-1-93</t>
  </si>
  <si>
    <t>2020/4-1-94</t>
  </si>
  <si>
    <t>2020/4-1-89</t>
  </si>
  <si>
    <t>2020/4-1-125</t>
  </si>
  <si>
    <t>2020/4-1-126</t>
  </si>
  <si>
    <t>2020/4-1-100</t>
  </si>
  <si>
    <t>2020/4-1-96</t>
  </si>
  <si>
    <t>2020/4-1-97</t>
  </si>
  <si>
    <t>2020/4-1-90</t>
  </si>
  <si>
    <t>2020/4-1-91</t>
  </si>
  <si>
    <t>2020/4-1-92</t>
  </si>
  <si>
    <t>2020/4-1-95</t>
  </si>
  <si>
    <t>2020/4-1-117</t>
  </si>
  <si>
    <t>2020/4-1-118</t>
  </si>
  <si>
    <t>2020/4-1-121</t>
  </si>
  <si>
    <t>2020/4-1-122</t>
  </si>
  <si>
    <t>2020/4-1-98</t>
  </si>
  <si>
    <t>2019/4-1-287</t>
  </si>
  <si>
    <t>Contract No.</t>
  </si>
  <si>
    <t>Amendment/ termination/ suspension No.</t>
  </si>
  <si>
    <t>2020/4-1-69</t>
  </si>
  <si>
    <t>2020/4-1-146</t>
  </si>
  <si>
    <t>2020/4-1-148</t>
  </si>
  <si>
    <t>2020/4-1-149</t>
  </si>
  <si>
    <t>2020/4-1-119</t>
  </si>
  <si>
    <t>2020/4-1-120</t>
  </si>
  <si>
    <t>2020/4-1-147</t>
  </si>
  <si>
    <t>2020/4-1-172</t>
  </si>
  <si>
    <t>2020/4-1-175</t>
  </si>
  <si>
    <t>2020/4-1-202</t>
  </si>
  <si>
    <t>2020/4-1-185</t>
  </si>
  <si>
    <t>2020/4-1-184</t>
  </si>
  <si>
    <t>2020/4-1-186</t>
  </si>
  <si>
    <t>2020/4-1-189</t>
  </si>
  <si>
    <t>2020/4-1-216</t>
  </si>
  <si>
    <t>2020/4-1-237</t>
  </si>
  <si>
    <t>2020/4-1-199</t>
  </si>
  <si>
    <t>2020/4-1-208</t>
  </si>
  <si>
    <t>2020/4-1-230</t>
  </si>
  <si>
    <t>2020/4-1-240</t>
  </si>
  <si>
    <t>2020/2-4737</t>
  </si>
  <si>
    <t>2020/4-1-243</t>
  </si>
  <si>
    <t>2020/4-1-244</t>
  </si>
  <si>
    <t>2020/4-1-245</t>
  </si>
  <si>
    <t>2020/4-1-246</t>
  </si>
  <si>
    <t>2020/4-1-247</t>
  </si>
  <si>
    <t>2020/4-1-256</t>
  </si>
  <si>
    <t>2020/2-4739</t>
  </si>
  <si>
    <t>2020/4-1-213</t>
  </si>
  <si>
    <t>Translation services</t>
  </si>
  <si>
    <t>2019/4-1-142</t>
  </si>
  <si>
    <t>2020/4-1-193</t>
  </si>
  <si>
    <t>2019/4-1-279</t>
  </si>
  <si>
    <t>2020/4-1-158</t>
  </si>
  <si>
    <t>2020/4-1-254</t>
  </si>
  <si>
    <t>2020/4-1-270</t>
  </si>
  <si>
    <t>2020/4-1-273</t>
  </si>
  <si>
    <t>2020/4-1-72</t>
  </si>
  <si>
    <t>2020/4-1-228</t>
  </si>
  <si>
    <t>2020/4-1-297</t>
  </si>
  <si>
    <t>2020/4-1-298</t>
  </si>
  <si>
    <t>2020/4-1-275</t>
  </si>
  <si>
    <t>2020/4-1-277</t>
  </si>
  <si>
    <t>2020/2-4437</t>
  </si>
  <si>
    <t>2020/2-4145</t>
  </si>
  <si>
    <t>2020/4-1-300</t>
  </si>
  <si>
    <t>2020/4-1-302</t>
  </si>
  <si>
    <t>2020/4-1-304</t>
  </si>
  <si>
    <t>Innovation Development HUB, LLC</t>
  </si>
  <si>
    <t>2020/4-1-314</t>
  </si>
  <si>
    <t>2020/4-1-319</t>
  </si>
  <si>
    <t>2020/4-1-316</t>
  </si>
  <si>
    <t>2020/4-1-317</t>
  </si>
  <si>
    <t>2020/4-1-328</t>
  </si>
  <si>
    <t>Total amount_WD/months, EUR</t>
  </si>
  <si>
    <t>WD /months</t>
  </si>
  <si>
    <t>2020/4-3-2</t>
  </si>
  <si>
    <t>2020/4-3-3</t>
  </si>
  <si>
    <t>2020/4-3-4</t>
  </si>
  <si>
    <t>2020/4-3-5</t>
  </si>
  <si>
    <t>2020/4-3-7</t>
  </si>
  <si>
    <t>2020/4-1-347</t>
  </si>
  <si>
    <t>2020/4-3-12</t>
  </si>
  <si>
    <t>2020/4-3-8</t>
  </si>
  <si>
    <t>2020/4-3-14</t>
  </si>
  <si>
    <t>2020/4-1-291</t>
  </si>
  <si>
    <t>2020/4-1-274</t>
  </si>
  <si>
    <t>2020/4-3-24</t>
  </si>
  <si>
    <t>Ad Power Creative, LLC</t>
  </si>
  <si>
    <t>Product contract</t>
  </si>
  <si>
    <t>2020/4-3-13</t>
  </si>
  <si>
    <t>2019/4-1-106</t>
  </si>
  <si>
    <t>2020/4-3-16</t>
  </si>
  <si>
    <t>2020/4-3-17</t>
  </si>
  <si>
    <t>2020/4-1-238</t>
  </si>
  <si>
    <t>2020/2-4673</t>
  </si>
  <si>
    <t>2020/2-8897</t>
  </si>
  <si>
    <t>2020/4-1-152
2020/4-1-156</t>
  </si>
  <si>
    <t>2020/2-6219</t>
  </si>
  <si>
    <t>2020/2-8573</t>
  </si>
  <si>
    <t>2019/4-1-244</t>
  </si>
  <si>
    <t>2020/2-4858</t>
  </si>
  <si>
    <t>2020/4-3-66</t>
  </si>
  <si>
    <t>2021/4-3-6</t>
  </si>
  <si>
    <t>2021/4-1-3</t>
  </si>
  <si>
    <t>2021/4-1-18</t>
  </si>
  <si>
    <t>2021/4-3-20</t>
  </si>
  <si>
    <t>2021/4-3-19</t>
  </si>
  <si>
    <t>2021/4-3-21</t>
  </si>
  <si>
    <t>2021/4-3-24</t>
  </si>
  <si>
    <t>2021/4-3-25</t>
  </si>
  <si>
    <t>2021/4-3-23</t>
  </si>
  <si>
    <t>2021/4-3-27</t>
  </si>
  <si>
    <t>2021/4-3-30</t>
  </si>
  <si>
    <t>2021/4-3-31</t>
  </si>
  <si>
    <t>2021/4-3-29</t>
  </si>
  <si>
    <t>2021/4-3-34</t>
  </si>
  <si>
    <t>2021/4-3-35</t>
  </si>
  <si>
    <t>2021/4-3-36</t>
  </si>
  <si>
    <t>2021/4-3-39</t>
  </si>
  <si>
    <t>Extention of implementation period - pratęsimas</t>
  </si>
  <si>
    <t>2021/4-3-54</t>
  </si>
  <si>
    <t>2021/4-3-55</t>
  </si>
  <si>
    <t>2021/4-3-56</t>
  </si>
  <si>
    <t>2021/4-3-57</t>
  </si>
  <si>
    <t>2021/4-3-58</t>
  </si>
  <si>
    <t>2021/4-3-46</t>
  </si>
  <si>
    <t>2021/4-3-63</t>
  </si>
  <si>
    <t>2021/4-3-64</t>
  </si>
  <si>
    <t>2021/4-3-65</t>
  </si>
  <si>
    <t>2021/4-3-66</t>
  </si>
  <si>
    <t>2021/4-3-69</t>
  </si>
  <si>
    <t>2021/4-1-22</t>
  </si>
  <si>
    <t>2020/4-1-172.1</t>
  </si>
  <si>
    <t>2020/4-1-175.1</t>
  </si>
  <si>
    <t>2020/4-1-189.1</t>
  </si>
  <si>
    <t>2021/4-3-70</t>
  </si>
  <si>
    <t>2021/4-3-72</t>
  </si>
  <si>
    <t>2021/4-3-73</t>
  </si>
  <si>
    <t>2021/4-3-77</t>
  </si>
  <si>
    <t>2021/4-3-76</t>
  </si>
  <si>
    <t>2021/4-3-79</t>
  </si>
  <si>
    <t>2021/4-3-80</t>
  </si>
  <si>
    <t>2021/4-3-81</t>
  </si>
  <si>
    <t>2020/4-1-388; 2021/4-1-15</t>
  </si>
  <si>
    <t>2021/4-3-89</t>
  </si>
  <si>
    <t>2021/4-3-91</t>
  </si>
  <si>
    <t>2021/4-3-95</t>
  </si>
  <si>
    <t>2021/4-3-96</t>
  </si>
  <si>
    <t>2021/4-3-99</t>
  </si>
  <si>
    <t>2021/4-3-100</t>
  </si>
  <si>
    <t>2021/4-3-107</t>
  </si>
  <si>
    <t>2021/4-3-110</t>
  </si>
  <si>
    <t>2021/4-3-118</t>
  </si>
  <si>
    <t>2021/4-3-114</t>
  </si>
  <si>
    <t>2021/4-3-129</t>
  </si>
  <si>
    <t>Baltijos tyrimai, UAB</t>
  </si>
  <si>
    <t>2021/4-3-67</t>
  </si>
  <si>
    <t>2021/4-3-132</t>
  </si>
  <si>
    <t>2021/4-3-44</t>
  </si>
  <si>
    <t>2021/4-3-122</t>
  </si>
  <si>
    <t>2021/4-3-</t>
  </si>
  <si>
    <t>2021/4-3-115.1</t>
  </si>
  <si>
    <t xml:space="preserve">INDIVIDUAL ENTERPRENEUR ORLOV R.I. </t>
  </si>
  <si>
    <t>2021/4-3-168</t>
  </si>
  <si>
    <t>2021/4-3-169</t>
  </si>
  <si>
    <t>2021/4-3-170</t>
  </si>
  <si>
    <t>2021/4-3-155</t>
  </si>
  <si>
    <t>2021/4-3-175</t>
  </si>
  <si>
    <t>2021/4-3-174</t>
  </si>
  <si>
    <t>2021/4-3-187</t>
  </si>
  <si>
    <t xml:space="preserve">Winncom Technologies, LLC </t>
  </si>
  <si>
    <t>2021/2-</t>
  </si>
  <si>
    <t>2021/-2-</t>
  </si>
  <si>
    <t>2021/4-3-213</t>
  </si>
  <si>
    <t>2021/4-3-211</t>
  </si>
  <si>
    <t>2021/4-3-219</t>
  </si>
  <si>
    <t>2021/4-3-223</t>
  </si>
  <si>
    <t>2021/4-3-242</t>
  </si>
  <si>
    <t>2021/4-3-264</t>
  </si>
  <si>
    <t>2021/4-1-21  2021/4-3-108</t>
  </si>
  <si>
    <t>2021/4-3-263</t>
  </si>
  <si>
    <t>2021/4-1-23; 2021/4-3-104</t>
  </si>
  <si>
    <t>2021/4-3-270</t>
  </si>
  <si>
    <t>2021/4-3-282</t>
  </si>
  <si>
    <t>2021/4-3-284</t>
  </si>
  <si>
    <t>2021/4-3-175; 2021/4-3-289</t>
  </si>
  <si>
    <t>2021/4-3-290</t>
  </si>
  <si>
    <t>2021/4-1-35</t>
  </si>
  <si>
    <t>2021/4-3-269</t>
  </si>
  <si>
    <t>2021/4-3-261</t>
  </si>
  <si>
    <t>2022/4-3-19</t>
  </si>
  <si>
    <t>2022/4-3-4</t>
  </si>
  <si>
    <t>Name of the procurement</t>
  </si>
  <si>
    <t>Title of the contract</t>
  </si>
  <si>
    <t>Aim of the procurement</t>
  </si>
  <si>
    <t>To purchase technical expertise services</t>
  </si>
  <si>
    <t>SERVICE CONTRACT FOR THE PROVISION OF TECHNICAL EXPERTISE 
UNDER THE EUROPEAN UNION FUNDED PUBLIC FINANCE MANAGEMENT SUPPORT PROGRAMME FOR UKRAINE (EU4PFM)</t>
  </si>
  <si>
    <t>Technical expertise services</t>
  </si>
  <si>
    <t>Name of the Service Provider</t>
  </si>
  <si>
    <t>Private person/Private enterpeneur</t>
  </si>
  <si>
    <t>Rent of premises</t>
  </si>
  <si>
    <t>NON RESIDENTIAL PROPERTY LEASE AGREEMENT</t>
  </si>
  <si>
    <t>Private Joint-Stock Company "Zhytomyrskyi meblevyi kombinat"</t>
  </si>
  <si>
    <t>01015 Kyiv, 15, Leipzigska str. Ukraine</t>
  </si>
  <si>
    <t>LEGAL SERVICES AGREEMENT</t>
  </si>
  <si>
    <t>LLC "ANSTRUM LAW FIRM"</t>
  </si>
  <si>
    <t xml:space="preserve">01030, Ukraine, Kyiv, 52 Bohdana Khmelnytskogo Str., </t>
  </si>
  <si>
    <t>CONTRACT FOR THE PROVISION OF THE TRANSLATION SERVICES</t>
  </si>
  <si>
    <t>PE Tkachenko Nataliya</t>
  </si>
  <si>
    <t xml:space="preserve">Ukraine 03057, Kyiv 20T, Metalistiv strr. </t>
  </si>
  <si>
    <t>Communication and visibility services</t>
  </si>
  <si>
    <t xml:space="preserve">CONTRACT ON THE PROVISION OF THE SERVICES OF THE COMMUNICATION AND VISIBILITY </t>
  </si>
  <si>
    <t>04700, Kyiv, Voloska str. 32/34, 28</t>
  </si>
  <si>
    <t>Event organization</t>
  </si>
  <si>
    <t>CONTRACT ON PROVISION OF EVENT MANAGEMENT SERVICES</t>
  </si>
  <si>
    <t>B&amp;M EVENT COMPANY LLC "PRO PROJECT"</t>
  </si>
  <si>
    <t>Ukraine, Kyiv, 03022 122 Kozatska str. bld 3</t>
  </si>
  <si>
    <t xml:space="preserve">CONTRACT FOR THE PURCHASE OF eAPPEAL SYSTEM
</t>
  </si>
  <si>
    <t>LLC "SPARTA LAB"</t>
  </si>
  <si>
    <t>03035, Kyiv, 9 Vasyla Lypkivskogo St., 162</t>
  </si>
  <si>
    <t>Address</t>
  </si>
  <si>
    <t>/</t>
  </si>
  <si>
    <t>To purchase premises rent services necessary for EU4PFM office work</t>
  </si>
  <si>
    <t>To purchase legal services necessary for EU4PFM implementation</t>
  </si>
  <si>
    <t>To purchase translation services necessary for EU4PFM implementation</t>
  </si>
  <si>
    <t>To purchase necessary services to ensure EU4PFM communication and visibility (preparation of the visibility and communication plan, preparation of press releases and etc.)</t>
  </si>
  <si>
    <t>To purchase event management services necessary for EU4PFM implementation</t>
  </si>
  <si>
    <t>To purchase e-appeal systems development services  for State Customs Service of Ukraine. It is an online web service, that allows to submit information about misconduct or inaction online.</t>
  </si>
  <si>
    <t xml:space="preserve">CONTRACT FOR THE PURCHASE OF DEVELOPMENT OF NCTS COMPATIBLE NATIONAL TRANSIT APPLICATION
</t>
  </si>
  <si>
    <t>INTRASOFT International S.A</t>
  </si>
  <si>
    <t>19.km Markopoulou Avenue, Paiania, 19002, Greece</t>
  </si>
  <si>
    <t xml:space="preserve">CONTRACT FOR THE PURCHASE OF DATA STORAGE AND PROCESSING SERVICES IN THE FORM OF CLOUD (VIRTUAL) DATA CENTER
</t>
  </si>
  <si>
    <t>To purchase of data storage and processing services in the form of cloud (virtual) data center which are necessary to accommodate the capacity of information systems of the State Customs Service of Ukraine.</t>
  </si>
  <si>
    <t xml:space="preserve">Limited Liability Company DE NOVO </t>
  </si>
  <si>
    <t>Ukraine, 04136, Kyiv city, Pivnichno-Syretska street,1-3</t>
  </si>
  <si>
    <t>CONTRACT FOR THE PURCHASE OF COMPUTER AND OTHER EQUIPMENT</t>
  </si>
  <si>
    <t xml:space="preserve">To purchase laptops and related equipment  for State Customs Service in order to assist in responding to the impact of the public health crisis created by the COVID-19 outbreak </t>
  </si>
  <si>
    <t>LLC "OLMAX Systems"</t>
  </si>
  <si>
    <t>2 Rybalska str. office 106, Kyiv, 01011, Ukraine</t>
  </si>
  <si>
    <t>CONTRACT ON PURCHASE VIDEO CONFERENCING LICENCES AND EQUIPMENT</t>
  </si>
  <si>
    <t xml:space="preserve">To purchase video conference equipment and licenses   for State Customs Service in order to assist in responding to the impact of the public health crisis created by the COVID-19 outbreak </t>
  </si>
  <si>
    <t>LLC "Winncom Technologies"</t>
  </si>
  <si>
    <t>Ukraine 03148. Kyiv, Geroiv, Kosmosu str., 4 off 804</t>
  </si>
  <si>
    <t>The purchase service of development of NCTS compatible national transit application that is provided to the State Customs service of Ukraine.</t>
  </si>
  <si>
    <t>The purchase service of development infrastructure map system visualizing and collecting the information on the places of custom clearance locations for internal State Customs Service of Ukraine usage and to display general statistics and up-to-date updates for external users</t>
  </si>
  <si>
    <t xml:space="preserve">CONTRACT FOR THE PURCHASE OF INFRASTRUCTURE MAP OF CUSTOMS CLEARANCE LOCATIONS 
</t>
  </si>
  <si>
    <t>Belintech Ukraine, LLC</t>
  </si>
  <si>
    <t>2021/4-3-181</t>
  </si>
  <si>
    <t>2021/4-3-123</t>
  </si>
  <si>
    <t>2021/4-3-108</t>
  </si>
  <si>
    <t>2021/4-3-112</t>
  </si>
  <si>
    <t>2021/4-3-127</t>
  </si>
  <si>
    <t>2021/4-3-45</t>
  </si>
  <si>
    <t>2021/4-3-113</t>
  </si>
  <si>
    <t>str. Luteranska 13, office 22, Kyiv, 01024, Ukraine</t>
  </si>
  <si>
    <t>Kyiv 03057, Ukraine</t>
  </si>
  <si>
    <t xml:space="preserve">AGREEMENT ON CREATION OF REQUEST AND USE OF INTELLECTUAL PROPERTY RIGHTS – PRODUCTION OF ANIMATED MOVIE </t>
  </si>
  <si>
    <t>CONTRACT FOR THE PURCHASE OF
THE TRANSIT SIMPLIFICATION</t>
  </si>
  <si>
    <t>VISUOMENĖS NUOMONĖS TYRIMO APIE UŽ FINANSŲ VALDYMĄ ATSAKINGAS UKRAINOS INSTITUCIJAS TYRIMO PASLAUGOS</t>
  </si>
  <si>
    <t>To purchase necessary services to ensure EU4PFM communication and visibility (creation of th animated video clips)</t>
  </si>
  <si>
    <t xml:space="preserve">THE PRELIMINARY AGREEMENT ON PREPARATION OF PRINTING AND RELATED DESIGN SERVICES, PRODUCTION AND ITS MARKING WITH VISIBILITY LOGOS RELATED WORKS </t>
  </si>
  <si>
    <t>52-B, Dmytrivska street, letter A, non-residntial premises No 60, 01054, Kyiv, Ukraine</t>
  </si>
  <si>
    <t xml:space="preserve">CONTRACT FOR THE PURCHASE OF
CREATION OF THE NCTS TRADER PORTAL 2.0 WITH THE POSSIBILITY OF FILING ENTRY SUMMARY DECLARATION (ENS) </t>
  </si>
  <si>
    <t>IT services</t>
  </si>
  <si>
    <t>CONTRACT FOR THE PURCHASE OF 
ORACLE DATABASE ENTERPRISE EDITION PERPETUAL (OR EQUIVALENT) AND ORACLE TUXEDO PERPETUAL (OR EQUIVALENT) LICENSES</t>
  </si>
  <si>
    <t>CONTRACT FOR THE PURCHASE OF WI-FI INFRASTRUCTURE</t>
  </si>
  <si>
    <t>56 Valeriia Lobanovskoho ave Kyiv, 03037, Ukraine</t>
  </si>
  <si>
    <t>To purchase trader portal creation services for NCTS</t>
  </si>
  <si>
    <t>To purchase of NCTS licences</t>
  </si>
  <si>
    <t>To purchase transit simplification creation services for NCTS</t>
  </si>
  <si>
    <t>To purchase necessary services to ensure EU4PFM communication and visibility (conduction of survey services)</t>
  </si>
  <si>
    <t xml:space="preserve">To purchase wifi infrastructure </t>
  </si>
  <si>
    <t>Services contract</t>
  </si>
  <si>
    <t>Čiurlionio 7-18 str., Vilnius, Lithuania</t>
  </si>
  <si>
    <t>ALESCO, Tertychnyy Oleksiy, PE</t>
  </si>
  <si>
    <t>08136, Kyiv Oblast, Kriukivshchyna village, 1-V Zhulianska Str., apt. 36, USREOU 3043418790</t>
  </si>
  <si>
    <t>2021/4-3-199</t>
  </si>
  <si>
    <t>To purchase translation services</t>
  </si>
  <si>
    <t>To purchase services</t>
  </si>
  <si>
    <t>Intepretation services</t>
  </si>
  <si>
    <t>CONTRACT 
TRANSLATION SERVICES</t>
  </si>
  <si>
    <t>CONTRACT 
INTERPRETATION SERVICES</t>
  </si>
  <si>
    <t>2020/4-1-197; 2020/4-1-272; 2020/4-1-307</t>
  </si>
  <si>
    <t xml:space="preserve"> 2020/4-1-324; 2020/4-1-234</t>
  </si>
  <si>
    <t>2020/4-1-321</t>
  </si>
  <si>
    <t xml:space="preserve"> 2020/4-1-327</t>
  </si>
  <si>
    <t xml:space="preserve">LLC “ENTENSO UKRAINE” </t>
  </si>
  <si>
    <t xml:space="preserve">61013, Kharkiv, Shevchenko st., 32
, registered under the number 39938326 </t>
  </si>
  <si>
    <t>2020/4-1-356</t>
  </si>
  <si>
    <t xml:space="preserve"> 2020/4-1-357; 2021/4-1-16</t>
  </si>
  <si>
    <t>To purchase risk management system development services</t>
  </si>
  <si>
    <t>To purchase risk engine system development services</t>
  </si>
  <si>
    <t xml:space="preserve"> 2020/4-3-19</t>
  </si>
  <si>
    <t>LLC "Prozori solutions"</t>
  </si>
  <si>
    <t>CONTRACT FOR THE PURCHASE OF
CREATION OF CUSTOMS.DATABUS SERVICE</t>
  </si>
  <si>
    <t>CONTRACT FOR THE PURCHASE OF
CREATION OF RISK MANAGEMENT SUBSYSTEM OF THE AUTOMATED RISK MANAGEMENT SYSTEM 2.0 (ASUR 2.0-RMS)</t>
  </si>
  <si>
    <t>CONTRACT FOR THE PURCHASE OF
CREATION OF  THE SYSTEM SOFTWARE RISK ENGINE SYSTEM OF THE RISK MANAGEMENT SYSTEM 2.0 (ASUR 2.0-RES)</t>
  </si>
  <si>
    <t>To purchase databus development services</t>
  </si>
  <si>
    <t>61045, Ukraine, Kharkiv OtakaraYarosha str.17-B</t>
  </si>
  <si>
    <t>CONTRACT FOR THE PURCHASE OF
CREATION OF CUSTOMS.BACK APPLICATION</t>
  </si>
  <si>
    <t>To purchase customs.back application development services</t>
  </si>
  <si>
    <t>2021/4-3-16</t>
  </si>
  <si>
    <t>CONTRACT FOR THE PURCHASE OF
CREATION OF THE FUNCTIONALITY OF THE MODULE FOR ITS “CUSTOMS.BACK” IN THE PROCEDURES OF MAINTAINING THE LAND AND SEA LOG OF THE CHECKPOINT</t>
  </si>
  <si>
    <t>2020/4-1-287</t>
  </si>
  <si>
    <t xml:space="preserve"> 2020/4-1-305</t>
  </si>
  <si>
    <t>2021/4-1-13</t>
  </si>
  <si>
    <t>CONTRACT FOR THE PURCHASE OF
CREATION OF THE CUSTOMS POST AUDIT SYSTEM (NC POST AUDIT 1.0)</t>
  </si>
  <si>
    <t>To purchase customs.back in the procedures of maintaining The land functionality development services</t>
  </si>
  <si>
    <t>To purchase customs post audit system development services</t>
  </si>
  <si>
    <t>To purchase STA Ranking Module system development services</t>
  </si>
  <si>
    <t>CONTRACT FOR THE PURCHASE OF
CREATION OF MODULE ON CONTROL
RANKINGS OF PAYERS BY INDICATORS, WHICH
TO BE TRANSFERRED FROM A SINGLE
ACCOUNT TO BUDGETARY AND NONBUDGETARY
ACCOUNTS</t>
  </si>
  <si>
    <t>LLC “Programika”</t>
  </si>
  <si>
    <t>Lvivska Square, 8, Kyiv, 04053</t>
  </si>
  <si>
    <t>2020/4-3-67</t>
  </si>
  <si>
    <t xml:space="preserve">2020/4-1-86 </t>
  </si>
  <si>
    <t>2020/4-1-281;
2020/4-1-375;
2020/4-1-348.1;
2020/4-1-376</t>
  </si>
  <si>
    <t>2020/4-1-326</t>
  </si>
  <si>
    <t xml:space="preserve">2019/4-1-141 </t>
  </si>
  <si>
    <t>2019/4-1-51</t>
  </si>
  <si>
    <t xml:space="preserve">2019/4-1-84 </t>
  </si>
  <si>
    <t>2019/4-1-95;
2021/4-1-19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</si>
</sst>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70" formatCode="0.000"/>
  </numFmts>
  <fonts count="36"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name val="Arial"/>
      <family val="2"/>
      <charset val="186"/>
    </font>
    <font>
      <sz val="10"/>
      <name val="Arial"/>
      <family val="2"/>
    </font>
    <font>
      <sz val="11"/>
      <color indexed="8"/>
      <name val="Calibri"/>
      <family val="2"/>
      <charset val="186"/>
    </font>
    <font>
      <sz val="10"/>
      <color theme="1"/>
      <name val="Times New Roman"/>
      <family val="1"/>
    </font>
    <font>
      <b/>
      <sz val="10"/>
      <color theme="1"/>
      <name val="Times New Roman"/>
      <family val="1"/>
    </font>
    <font>
      <sz val="10"/>
      <name val="Times New Roman"/>
      <family val="1"/>
    </font>
    <font>
      <sz val="10"/>
      <color theme="1"/>
      <name val="Times New Roman"/>
      <family val="1"/>
      <charset val="186"/>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sz val="11"/>
      <color theme="0"/>
      <name val="Calibri"/>
      <family val="2"/>
      <charset val="186"/>
      <scheme val="minor"/>
    </font>
    <font>
      <b/>
      <sz val="10"/>
      <color theme="1"/>
      <name val="Times New Roman"/>
      <family val="1"/>
      <charset val="186"/>
    </font>
    <font>
      <sz val="10"/>
      <name val="Times New Roman"/>
      <family val="1"/>
      <charset val="186"/>
    </font>
    <font>
      <sz val="10"/>
      <color theme="1"/>
      <name val="Calibri"/>
      <family val="2"/>
      <scheme val="minor"/>
    </font>
  </fonts>
  <fills count="39">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s>
  <cellStyleXfs count="64">
    <xf numFmtId="0" fontId="0" fillId="0" borderId="0"/>
    <xf numFmtId="0" fontId="11" fillId="0" borderId="0"/>
    <xf numFmtId="0" fontId="13" fillId="0" borderId="0"/>
    <xf numFmtId="0" fontId="11" fillId="0" borderId="0"/>
    <xf numFmtId="9" fontId="11" fillId="0" borderId="0" applyFont="0" applyFill="0" applyBorder="0" applyAlignment="0" applyProtection="0"/>
    <xf numFmtId="0" fontId="9" fillId="0" borderId="0"/>
    <xf numFmtId="0" fontId="8" fillId="0" borderId="0"/>
    <xf numFmtId="164" fontId="7" fillId="0" borderId="0" applyFont="0" applyFill="0" applyBorder="0" applyAlignment="0" applyProtection="0"/>
    <xf numFmtId="0" fontId="12" fillId="0" borderId="0"/>
    <xf numFmtId="0" fontId="6" fillId="0" borderId="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6" applyNumberFormat="0" applyAlignment="0" applyProtection="0"/>
    <xf numFmtId="0" fontId="26" fillId="11" borderId="7" applyNumberFormat="0" applyAlignment="0" applyProtection="0"/>
    <xf numFmtId="0" fontId="27" fillId="11" borderId="6" applyNumberFormat="0" applyAlignment="0" applyProtection="0"/>
    <xf numFmtId="0" fontId="28" fillId="0" borderId="8" applyNumberFormat="0" applyFill="0" applyAlignment="0" applyProtection="0"/>
    <xf numFmtId="0" fontId="29" fillId="12"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0" fillId="0" borderId="11" applyNumberFormat="0" applyFill="0" applyAlignment="0" applyProtection="0"/>
    <xf numFmtId="0" fontId="32"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32" fillId="37" borderId="0" applyNumberFormat="0" applyBorder="0" applyAlignment="0" applyProtection="0"/>
    <xf numFmtId="0" fontId="5" fillId="0" borderId="0"/>
    <xf numFmtId="0" fontId="5" fillId="13" borderId="1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2" fillId="0" borderId="0"/>
    <xf numFmtId="0" fontId="1" fillId="0" borderId="0"/>
  </cellStyleXfs>
  <cellXfs count="41">
    <xf numFmtId="0" fontId="0" fillId="0" borderId="0" xfId="0"/>
    <xf numFmtId="0" fontId="14" fillId="0" borderId="0" xfId="5" applyFont="1" applyAlignment="1">
      <alignment horizontal="center"/>
    </xf>
    <xf numFmtId="0" fontId="15" fillId="3" borderId="2" xfId="5" applyFont="1" applyFill="1" applyBorder="1" applyAlignment="1">
      <alignment horizontal="center" vertical="center" wrapText="1"/>
    </xf>
    <xf numFmtId="0" fontId="15" fillId="0" borderId="0" xfId="5" applyFont="1" applyAlignment="1">
      <alignment horizontal="center" vertical="center"/>
    </xf>
    <xf numFmtId="0" fontId="14" fillId="0" borderId="12" xfId="5" applyFont="1" applyBorder="1" applyAlignment="1">
      <alignment horizontal="center"/>
    </xf>
    <xf numFmtId="0" fontId="14" fillId="6" borderId="12" xfId="5" applyFont="1" applyFill="1" applyBorder="1" applyAlignment="1">
      <alignment horizontal="center"/>
    </xf>
    <xf numFmtId="0" fontId="14" fillId="0" borderId="0" xfId="5" applyFont="1" applyBorder="1" applyAlignment="1">
      <alignment horizontal="center"/>
    </xf>
    <xf numFmtId="0" fontId="15" fillId="2" borderId="2" xfId="5" applyFont="1" applyFill="1" applyBorder="1" applyAlignment="1">
      <alignment horizontal="center" vertical="center" wrapText="1"/>
    </xf>
    <xf numFmtId="0" fontId="14" fillId="0" borderId="0" xfId="5" applyFont="1" applyAlignment="1">
      <alignment horizontal="center" vertical="center"/>
    </xf>
    <xf numFmtId="0" fontId="14" fillId="5" borderId="0" xfId="5" applyFont="1" applyFill="1" applyAlignment="1">
      <alignment horizontal="center" vertical="center"/>
    </xf>
    <xf numFmtId="44" fontId="35" fillId="0" borderId="12" xfId="0" applyNumberFormat="1" applyFont="1" applyFill="1" applyBorder="1" applyAlignment="1">
      <alignment horizontal="center" vertical="center"/>
    </xf>
    <xf numFmtId="0" fontId="33" fillId="2" borderId="12" xfId="5" applyFont="1" applyFill="1" applyBorder="1" applyAlignment="1">
      <alignment horizontal="center" vertical="center" wrapText="1"/>
    </xf>
    <xf numFmtId="0" fontId="33" fillId="2" borderId="2" xfId="5"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7" fillId="4" borderId="12" xfId="5"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2" borderId="12" xfId="5" applyFont="1" applyFill="1" applyBorder="1" applyAlignment="1">
      <alignment horizontal="center" vertical="center" wrapText="1"/>
    </xf>
    <xf numFmtId="0" fontId="15" fillId="3" borderId="13" xfId="5" applyFont="1" applyFill="1" applyBorder="1" applyAlignment="1">
      <alignment horizontal="center" vertical="center" wrapText="1"/>
    </xf>
    <xf numFmtId="44" fontId="35" fillId="0" borderId="1" xfId="0" applyNumberFormat="1" applyFont="1" applyFill="1" applyBorder="1" applyAlignment="1">
      <alignment horizontal="center" vertical="center"/>
    </xf>
    <xf numFmtId="0" fontId="14" fillId="0" borderId="1" xfId="5" applyFont="1" applyBorder="1" applyAlignment="1">
      <alignment horizontal="center"/>
    </xf>
    <xf numFmtId="0" fontId="17" fillId="0" borderId="0" xfId="5" applyFont="1" applyBorder="1" applyAlignment="1">
      <alignment horizontal="center" vertical="center" wrapText="1"/>
    </xf>
    <xf numFmtId="49" fontId="17" fillId="0" borderId="0" xfId="5" applyNumberFormat="1" applyFont="1" applyBorder="1" applyAlignment="1">
      <alignment horizontal="center" vertical="center" wrapText="1"/>
    </xf>
    <xf numFmtId="49" fontId="33" fillId="2" borderId="2" xfId="5" applyNumberFormat="1" applyFont="1" applyFill="1" applyBorder="1" applyAlignment="1">
      <alignment horizontal="center" vertical="center" wrapText="1"/>
    </xf>
    <xf numFmtId="0" fontId="17" fillId="6" borderId="12" xfId="5" applyFont="1" applyFill="1" applyBorder="1" applyAlignment="1">
      <alignment horizontal="center" vertical="center" wrapText="1"/>
    </xf>
    <xf numFmtId="49" fontId="17" fillId="6" borderId="12" xfId="5" applyNumberFormat="1" applyFont="1" applyFill="1" applyBorder="1" applyAlignment="1">
      <alignment horizontal="center" vertical="center" wrapText="1"/>
    </xf>
    <xf numFmtId="14" fontId="17" fillId="6" borderId="12" xfId="5" applyNumberFormat="1" applyFont="1" applyFill="1" applyBorder="1" applyAlignment="1">
      <alignment horizontal="center" vertical="center" wrapText="1"/>
    </xf>
    <xf numFmtId="14" fontId="14" fillId="6" borderId="12" xfId="5" applyNumberFormat="1" applyFont="1" applyFill="1" applyBorder="1" applyAlignment="1">
      <alignment horizontal="center" vertical="center"/>
    </xf>
    <xf numFmtId="9" fontId="14" fillId="6" borderId="12" xfId="4" applyFont="1" applyFill="1" applyBorder="1" applyAlignment="1">
      <alignment horizontal="center"/>
    </xf>
    <xf numFmtId="2" fontId="14" fillId="6" borderId="12" xfId="5" applyNumberFormat="1" applyFont="1" applyFill="1" applyBorder="1" applyAlignment="1">
      <alignment horizontal="center"/>
    </xf>
    <xf numFmtId="44" fontId="17" fillId="6" borderId="12" xfId="0" applyNumberFormat="1" applyFont="1" applyFill="1" applyBorder="1" applyAlignment="1">
      <alignment horizontal="center" vertical="center" wrapText="1"/>
    </xf>
    <xf numFmtId="0" fontId="17" fillId="6" borderId="12" xfId="0" applyFont="1" applyFill="1" applyBorder="1" applyAlignment="1">
      <alignment horizontal="center" vertical="center" wrapText="1"/>
    </xf>
    <xf numFmtId="170" fontId="14" fillId="6" borderId="12" xfId="5" applyNumberFormat="1" applyFont="1" applyFill="1" applyBorder="1" applyAlignment="1">
      <alignment horizontal="center"/>
    </xf>
    <xf numFmtId="0" fontId="34" fillId="6" borderId="12" xfId="0" applyFont="1" applyFill="1" applyBorder="1" applyAlignment="1">
      <alignment horizontal="center" vertical="center" wrapText="1"/>
    </xf>
    <xf numFmtId="0" fontId="14" fillId="6" borderId="12" xfId="5" applyFont="1" applyFill="1" applyBorder="1" applyAlignment="1">
      <alignment horizontal="center" wrapText="1"/>
    </xf>
    <xf numFmtId="14" fontId="17" fillId="6" borderId="12" xfId="0" applyNumberFormat="1" applyFont="1" applyFill="1" applyBorder="1" applyAlignment="1">
      <alignment horizontal="center" vertical="center" wrapText="1"/>
    </xf>
    <xf numFmtId="0" fontId="14" fillId="6" borderId="12" xfId="5" applyFont="1" applyFill="1" applyBorder="1" applyAlignment="1">
      <alignment horizontal="center" vertical="center"/>
    </xf>
    <xf numFmtId="49" fontId="14" fillId="6" borderId="12" xfId="5" applyNumberFormat="1" applyFont="1" applyFill="1" applyBorder="1" applyAlignment="1">
      <alignment horizontal="center" vertical="center"/>
    </xf>
    <xf numFmtId="14" fontId="16" fillId="6" borderId="12" xfId="5" applyNumberFormat="1" applyFont="1" applyFill="1" applyBorder="1" applyAlignment="1">
      <alignment horizontal="center" vertical="center" wrapText="1"/>
    </xf>
    <xf numFmtId="14" fontId="14" fillId="6" borderId="12" xfId="5" applyNumberFormat="1" applyFont="1" applyFill="1" applyBorder="1" applyAlignment="1">
      <alignment horizontal="center" vertical="center" wrapText="1"/>
    </xf>
    <xf numFmtId="14" fontId="16" fillId="6" borderId="12" xfId="0" applyNumberFormat="1" applyFont="1" applyFill="1" applyBorder="1" applyAlignment="1">
      <alignment horizontal="center" vertical="center" wrapText="1"/>
    </xf>
    <xf numFmtId="0" fontId="17" fillId="38" borderId="12" xfId="5" applyFont="1" applyFill="1" applyBorder="1" applyAlignment="1">
      <alignment horizontal="center" vertical="center" wrapText="1"/>
    </xf>
  </cellXfs>
  <cellStyles count="64">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2" xfId="7" xr:uid="{00000000-0005-0000-0000-00001C000000}"/>
    <cellStyle name="Excel Built-in Normal" xfId="2" xr:uid="{00000000-0005-0000-0000-00001D000000}"/>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8" builtinId="20" customBuiltin="1"/>
    <cellStyle name="Linked Cell" xfId="21" builtinId="24" customBuiltin="1"/>
    <cellStyle name="Neutral" xfId="17" builtinId="28" customBuiltin="1"/>
    <cellStyle name="Normal" xfId="0" builtinId="0"/>
    <cellStyle name="Normal 10" xfId="58" xr:uid="{00000000-0005-0000-0000-000028000000}"/>
    <cellStyle name="Normal 11" xfId="60" xr:uid="{00000000-0005-0000-0000-000029000000}"/>
    <cellStyle name="Normal 12" xfId="63" xr:uid="{00000000-0005-0000-0000-00002A000000}"/>
    <cellStyle name="Normal 2" xfId="1" xr:uid="{00000000-0005-0000-0000-00002B000000}"/>
    <cellStyle name="Normal 3" xfId="3" xr:uid="{00000000-0005-0000-0000-00002C000000}"/>
    <cellStyle name="Normal 4" xfId="5" xr:uid="{00000000-0005-0000-0000-00002D000000}"/>
    <cellStyle name="Normal 4 2" xfId="59" xr:uid="{00000000-0005-0000-0000-00002E000000}"/>
    <cellStyle name="Normal 4 3" xfId="52" xr:uid="{00000000-0005-0000-0000-00002F000000}"/>
    <cellStyle name="Normal 4 4" xfId="62" xr:uid="{00000000-0005-0000-0000-000030000000}"/>
    <cellStyle name="Normal 5" xfId="6" xr:uid="{00000000-0005-0000-0000-000031000000}"/>
    <cellStyle name="Normal 5 2" xfId="53" xr:uid="{00000000-0005-0000-0000-000032000000}"/>
    <cellStyle name="Normal 6" xfId="8" xr:uid="{00000000-0005-0000-0000-000033000000}"/>
    <cellStyle name="Normal 6 2" xfId="54" xr:uid="{00000000-0005-0000-0000-000034000000}"/>
    <cellStyle name="Normal 7" xfId="9" xr:uid="{00000000-0005-0000-0000-000035000000}"/>
    <cellStyle name="Normal 7 2" xfId="55" xr:uid="{00000000-0005-0000-0000-000036000000}"/>
    <cellStyle name="Normal 8" xfId="50" xr:uid="{00000000-0005-0000-0000-000037000000}"/>
    <cellStyle name="Normal 8 2" xfId="56" xr:uid="{00000000-0005-0000-0000-000038000000}"/>
    <cellStyle name="Normal 9" xfId="57" xr:uid="{00000000-0005-0000-0000-000039000000}"/>
    <cellStyle name="Note 2" xfId="51" xr:uid="{00000000-0005-0000-0000-00003A000000}"/>
    <cellStyle name="Output" xfId="19" builtinId="21" customBuiltin="1"/>
    <cellStyle name="Percent" xfId="4" builtinId="5"/>
    <cellStyle name="Percent 2" xfId="61" xr:uid="{00000000-0005-0000-0000-00003D000000}"/>
    <cellStyle name="Title" xfId="10" builtinId="15" customBuiltin="1"/>
    <cellStyle name="Total" xfId="25" builtinId="25" customBuiltin="1"/>
    <cellStyle name="Warning Text" xfId="23" builtinId="11" customBuiltin="1"/>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teufeil\Local%20Settings\Temporary%20Internet%20Files\OLK97\PVD%20BUDGET%2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2.%20PROGRAMOS\3.2%20TB%20(K)\3.3.3%20KT%20PROJ\3.%20NETIESIOG%20VALD\Ukraine%20PFM\3.%20FINANS&#370;%20VALDYMAS\DB\DB_P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s>
    <sheetDataSet>
      <sheetData sheetId="0">
        <row r="56">
          <cell r="E56">
            <v>0</v>
          </cell>
          <cell r="I5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R162"/>
  <sheetViews>
    <sheetView tabSelected="1" zoomScale="90" zoomScaleNormal="90" workbookViewId="0">
      <pane xSplit="7" ySplit="1" topLeftCell="H143" activePane="bottomRight" state="frozen"/>
      <selection pane="topRight" activeCell="J1" sqref="J1"/>
      <selection pane="bottomLeft" activeCell="A4" sqref="A4"/>
      <selection pane="bottomRight" activeCell="D150" sqref="D150"/>
    </sheetView>
  </sheetViews>
  <sheetFormatPr defaultColWidth="9.1796875" defaultRowHeight="13" x14ac:dyDescent="0.3"/>
  <cols>
    <col min="1" max="1" width="7.1796875" style="20" customWidth="1"/>
    <col min="2" max="2" width="31.453125" style="20" customWidth="1"/>
    <col min="3" max="3" width="13.26953125" style="20" customWidth="1"/>
    <col min="4" max="4" width="23.90625" style="20" customWidth="1"/>
    <col min="5" max="5" width="11.6328125" style="21" customWidth="1"/>
    <col min="6" max="6" width="12.1796875" style="20" customWidth="1"/>
    <col min="7" max="7" width="16.6328125" style="20" customWidth="1"/>
    <col min="8" max="8" width="15.81640625" style="20" customWidth="1"/>
    <col min="9" max="9" width="18.26953125" style="20" customWidth="1"/>
    <col min="10" max="10" width="11.453125" style="20" customWidth="1"/>
    <col min="11" max="11" width="11.90625" style="6" hidden="1" customWidth="1"/>
    <col min="12" max="12" width="14.26953125" style="6" hidden="1" customWidth="1"/>
    <col min="13" max="13" width="12.1796875" style="6" hidden="1" customWidth="1"/>
    <col min="14" max="14" width="9" style="6" hidden="1" customWidth="1"/>
    <col min="15" max="15" width="9.453125" style="6" hidden="1" customWidth="1"/>
    <col min="16" max="16" width="13.54296875" style="20" customWidth="1"/>
    <col min="17" max="18" width="8" style="1" hidden="1" customWidth="1"/>
    <col min="19" max="16384" width="9.1796875" style="1"/>
  </cols>
  <sheetData>
    <row r="1" spans="1:18" s="3" customFormat="1" ht="52" x14ac:dyDescent="0.25">
      <c r="A1" s="11" t="s">
        <v>18</v>
      </c>
      <c r="B1" s="12" t="s">
        <v>224</v>
      </c>
      <c r="C1" s="12" t="s">
        <v>222</v>
      </c>
      <c r="D1" s="12" t="s">
        <v>223</v>
      </c>
      <c r="E1" s="22" t="s">
        <v>47</v>
      </c>
      <c r="F1" s="12" t="s">
        <v>48</v>
      </c>
      <c r="G1" s="12" t="s">
        <v>228</v>
      </c>
      <c r="H1" s="12" t="s">
        <v>250</v>
      </c>
      <c r="I1" s="12" t="s">
        <v>2</v>
      </c>
      <c r="J1" s="12" t="s">
        <v>9</v>
      </c>
      <c r="K1" s="7" t="s">
        <v>10</v>
      </c>
      <c r="L1" s="7" t="s">
        <v>149</v>
      </c>
      <c r="M1" s="2" t="s">
        <v>104</v>
      </c>
      <c r="N1" s="2" t="s">
        <v>4</v>
      </c>
      <c r="O1" s="2" t="s">
        <v>19</v>
      </c>
      <c r="P1" s="12" t="s">
        <v>103</v>
      </c>
      <c r="Q1" s="17" t="s">
        <v>0</v>
      </c>
      <c r="R1" s="2" t="s">
        <v>3</v>
      </c>
    </row>
    <row r="2" spans="1:18" s="8" customFormat="1" ht="100" customHeight="1" x14ac:dyDescent="0.3">
      <c r="A2" s="40">
        <v>2019</v>
      </c>
      <c r="B2" s="23" t="s">
        <v>225</v>
      </c>
      <c r="C2" s="23" t="s">
        <v>227</v>
      </c>
      <c r="D2" s="23" t="s">
        <v>226</v>
      </c>
      <c r="E2" s="24" t="s">
        <v>8</v>
      </c>
      <c r="F2" s="23" t="s">
        <v>129</v>
      </c>
      <c r="G2" s="23" t="s">
        <v>229</v>
      </c>
      <c r="H2" s="23" t="s">
        <v>251</v>
      </c>
      <c r="I2" s="23" t="s">
        <v>11</v>
      </c>
      <c r="J2" s="25">
        <v>43710</v>
      </c>
      <c r="K2" s="26">
        <v>43799</v>
      </c>
      <c r="L2" s="26">
        <v>43889</v>
      </c>
      <c r="M2" s="5">
        <v>6</v>
      </c>
      <c r="N2" s="27">
        <v>0</v>
      </c>
      <c r="O2" s="28">
        <v>2500</v>
      </c>
      <c r="P2" s="29">
        <f>ROUND(M2*O2,2)</f>
        <v>15000</v>
      </c>
      <c r="Q2" s="18">
        <v>0</v>
      </c>
      <c r="R2" s="10">
        <v>0</v>
      </c>
    </row>
    <row r="3" spans="1:18" s="8" customFormat="1" ht="100" customHeight="1" x14ac:dyDescent="0.3">
      <c r="A3" s="40">
        <v>2019</v>
      </c>
      <c r="B3" s="23" t="s">
        <v>225</v>
      </c>
      <c r="C3" s="23" t="s">
        <v>227</v>
      </c>
      <c r="D3" s="23" t="s">
        <v>226</v>
      </c>
      <c r="E3" s="24" t="s">
        <v>7</v>
      </c>
      <c r="F3" s="23" t="s">
        <v>15</v>
      </c>
      <c r="G3" s="23" t="s">
        <v>229</v>
      </c>
      <c r="H3" s="23" t="s">
        <v>251</v>
      </c>
      <c r="I3" s="23" t="s">
        <v>11</v>
      </c>
      <c r="J3" s="25">
        <v>43710</v>
      </c>
      <c r="K3" s="26">
        <v>43799</v>
      </c>
      <c r="L3" s="26">
        <v>43889</v>
      </c>
      <c r="M3" s="5">
        <v>6</v>
      </c>
      <c r="N3" s="27">
        <v>0</v>
      </c>
      <c r="O3" s="28">
        <v>2500</v>
      </c>
      <c r="P3" s="29">
        <f>ROUND(M3*O3,2)</f>
        <v>15000</v>
      </c>
      <c r="Q3" s="18">
        <v>0</v>
      </c>
      <c r="R3" s="10">
        <v>0</v>
      </c>
    </row>
    <row r="4" spans="1:18" s="8" customFormat="1" ht="100" customHeight="1" x14ac:dyDescent="0.3">
      <c r="A4" s="40">
        <v>2019</v>
      </c>
      <c r="B4" s="23" t="s">
        <v>225</v>
      </c>
      <c r="C4" s="23" t="s">
        <v>227</v>
      </c>
      <c r="D4" s="23" t="s">
        <v>226</v>
      </c>
      <c r="E4" s="24" t="s">
        <v>6</v>
      </c>
      <c r="F4" s="23"/>
      <c r="G4" s="23" t="s">
        <v>229</v>
      </c>
      <c r="H4" s="23" t="s">
        <v>251</v>
      </c>
      <c r="I4" s="23" t="s">
        <v>1</v>
      </c>
      <c r="J4" s="25">
        <v>43739</v>
      </c>
      <c r="K4" s="26">
        <v>43799</v>
      </c>
      <c r="L4" s="26"/>
      <c r="M4" s="5">
        <v>25</v>
      </c>
      <c r="N4" s="27">
        <v>0</v>
      </c>
      <c r="O4" s="28">
        <v>450</v>
      </c>
      <c r="P4" s="29">
        <f>ROUND(M4*O4,2)</f>
        <v>11250</v>
      </c>
      <c r="Q4" s="18">
        <v>25</v>
      </c>
      <c r="R4" s="10">
        <v>0</v>
      </c>
    </row>
    <row r="5" spans="1:18" s="8" customFormat="1" ht="100" customHeight="1" x14ac:dyDescent="0.3">
      <c r="A5" s="40">
        <v>2019</v>
      </c>
      <c r="B5" s="23" t="s">
        <v>225</v>
      </c>
      <c r="C5" s="23" t="s">
        <v>227</v>
      </c>
      <c r="D5" s="23" t="s">
        <v>226</v>
      </c>
      <c r="E5" s="24" t="s">
        <v>12</v>
      </c>
      <c r="F5" s="23" t="s">
        <v>17</v>
      </c>
      <c r="G5" s="23" t="s">
        <v>229</v>
      </c>
      <c r="H5" s="23" t="s">
        <v>251</v>
      </c>
      <c r="I5" s="23" t="s">
        <v>11</v>
      </c>
      <c r="J5" s="25">
        <v>43740</v>
      </c>
      <c r="K5" s="26">
        <v>43846</v>
      </c>
      <c r="L5" s="26">
        <v>43889</v>
      </c>
      <c r="M5" s="5">
        <v>5</v>
      </c>
      <c r="N5" s="27">
        <v>0</v>
      </c>
      <c r="O5" s="28">
        <v>3500</v>
      </c>
      <c r="P5" s="29">
        <f>ROUND(M5*O5,2)</f>
        <v>17500</v>
      </c>
      <c r="Q5" s="18">
        <v>0</v>
      </c>
      <c r="R5" s="10">
        <v>0</v>
      </c>
    </row>
    <row r="6" spans="1:18" s="8" customFormat="1" ht="100" customHeight="1" x14ac:dyDescent="0.3">
      <c r="A6" s="40">
        <v>2019</v>
      </c>
      <c r="B6" s="23" t="s">
        <v>225</v>
      </c>
      <c r="C6" s="23" t="s">
        <v>227</v>
      </c>
      <c r="D6" s="23" t="s">
        <v>226</v>
      </c>
      <c r="E6" s="24" t="s">
        <v>13</v>
      </c>
      <c r="F6" s="23" t="s">
        <v>46</v>
      </c>
      <c r="G6" s="23" t="s">
        <v>229</v>
      </c>
      <c r="H6" s="23" t="s">
        <v>251</v>
      </c>
      <c r="I6" s="23" t="s">
        <v>11</v>
      </c>
      <c r="J6" s="25">
        <v>43740</v>
      </c>
      <c r="K6" s="26">
        <v>43830</v>
      </c>
      <c r="L6" s="26">
        <v>43889</v>
      </c>
      <c r="M6" s="5">
        <v>5</v>
      </c>
      <c r="N6" s="27">
        <v>0</v>
      </c>
      <c r="O6" s="28">
        <v>5000</v>
      </c>
      <c r="P6" s="29">
        <f>ROUND(M6*O6,2)</f>
        <v>25000</v>
      </c>
      <c r="Q6" s="18">
        <v>0</v>
      </c>
      <c r="R6" s="10">
        <v>0</v>
      </c>
    </row>
    <row r="7" spans="1:18" s="8" customFormat="1" ht="100" customHeight="1" x14ac:dyDescent="0.3">
      <c r="A7" s="40">
        <v>2019</v>
      </c>
      <c r="B7" s="23" t="s">
        <v>225</v>
      </c>
      <c r="C7" s="23" t="s">
        <v>227</v>
      </c>
      <c r="D7" s="23" t="s">
        <v>226</v>
      </c>
      <c r="E7" s="24" t="s">
        <v>14</v>
      </c>
      <c r="F7" s="23" t="s">
        <v>24</v>
      </c>
      <c r="G7" s="23" t="s">
        <v>229</v>
      </c>
      <c r="H7" s="23" t="s">
        <v>251</v>
      </c>
      <c r="I7" s="23" t="s">
        <v>11</v>
      </c>
      <c r="J7" s="25">
        <v>43740</v>
      </c>
      <c r="K7" s="26">
        <v>43846</v>
      </c>
      <c r="L7" s="26">
        <v>43890</v>
      </c>
      <c r="M7" s="5">
        <v>5</v>
      </c>
      <c r="N7" s="27">
        <v>0</v>
      </c>
      <c r="O7" s="28">
        <v>5000</v>
      </c>
      <c r="P7" s="29">
        <f>ROUND(M7*O7,2)</f>
        <v>25000</v>
      </c>
      <c r="Q7" s="18">
        <v>0</v>
      </c>
      <c r="R7" s="10">
        <v>0</v>
      </c>
    </row>
    <row r="8" spans="1:18" s="8" customFormat="1" ht="100" customHeight="1" x14ac:dyDescent="0.3">
      <c r="A8" s="40">
        <v>2019</v>
      </c>
      <c r="B8" s="23" t="s">
        <v>225</v>
      </c>
      <c r="C8" s="23" t="s">
        <v>227</v>
      </c>
      <c r="D8" s="23" t="s">
        <v>226</v>
      </c>
      <c r="E8" s="24" t="s">
        <v>21</v>
      </c>
      <c r="F8" s="23" t="s">
        <v>49</v>
      </c>
      <c r="G8" s="23" t="s">
        <v>229</v>
      </c>
      <c r="H8" s="23" t="s">
        <v>251</v>
      </c>
      <c r="I8" s="23" t="s">
        <v>11</v>
      </c>
      <c r="J8" s="25">
        <v>43796</v>
      </c>
      <c r="K8" s="26">
        <v>44083</v>
      </c>
      <c r="L8" s="26"/>
      <c r="M8" s="5">
        <v>9.5</v>
      </c>
      <c r="N8" s="27">
        <v>0</v>
      </c>
      <c r="O8" s="28">
        <v>2000</v>
      </c>
      <c r="P8" s="29">
        <f>ROUND(M8*O8,2)</f>
        <v>19000</v>
      </c>
      <c r="Q8" s="18">
        <v>0</v>
      </c>
      <c r="R8" s="10">
        <v>0</v>
      </c>
    </row>
    <row r="9" spans="1:18" s="8" customFormat="1" ht="100" customHeight="1" x14ac:dyDescent="0.3">
      <c r="A9" s="40">
        <v>2019</v>
      </c>
      <c r="B9" s="23" t="s">
        <v>225</v>
      </c>
      <c r="C9" s="23" t="s">
        <v>227</v>
      </c>
      <c r="D9" s="23" t="s">
        <v>226</v>
      </c>
      <c r="E9" s="24" t="s">
        <v>16</v>
      </c>
      <c r="F9" s="23" t="s">
        <v>25</v>
      </c>
      <c r="G9" s="23" t="s">
        <v>229</v>
      </c>
      <c r="H9" s="23" t="s">
        <v>251</v>
      </c>
      <c r="I9" s="23" t="s">
        <v>11</v>
      </c>
      <c r="J9" s="25">
        <v>43808</v>
      </c>
      <c r="K9" s="26">
        <v>44096</v>
      </c>
      <c r="L9" s="26"/>
      <c r="M9" s="5">
        <f>+ROUND(16/21,4)+8+ROUND(16/22,4)</f>
        <v>9.4892000000000003</v>
      </c>
      <c r="N9" s="27">
        <v>0</v>
      </c>
      <c r="O9" s="28">
        <v>2000</v>
      </c>
      <c r="P9" s="29">
        <f>ROUND(M9*O9,2)</f>
        <v>18978.400000000001</v>
      </c>
      <c r="Q9" s="18">
        <v>0</v>
      </c>
      <c r="R9" s="10">
        <v>0</v>
      </c>
    </row>
    <row r="10" spans="1:18" s="8" customFormat="1" ht="100" customHeight="1" x14ac:dyDescent="0.3">
      <c r="A10" s="13">
        <v>2019</v>
      </c>
      <c r="B10" s="30" t="s">
        <v>252</v>
      </c>
      <c r="C10" s="30" t="s">
        <v>230</v>
      </c>
      <c r="D10" s="30" t="s">
        <v>231</v>
      </c>
      <c r="E10" s="30" t="s">
        <v>349</v>
      </c>
      <c r="F10" s="29" t="s">
        <v>350</v>
      </c>
      <c r="G10" s="30" t="s">
        <v>232</v>
      </c>
      <c r="H10" s="30" t="s">
        <v>233</v>
      </c>
      <c r="I10" s="30" t="s">
        <v>1</v>
      </c>
      <c r="J10" s="25">
        <v>43634</v>
      </c>
      <c r="K10" s="26"/>
      <c r="L10" s="26"/>
      <c r="M10" s="5"/>
      <c r="N10" s="27"/>
      <c r="O10" s="28"/>
      <c r="P10" s="29">
        <v>336000</v>
      </c>
      <c r="Q10" s="19"/>
      <c r="R10" s="4"/>
    </row>
    <row r="11" spans="1:18" s="8" customFormat="1" ht="100" customHeight="1" x14ac:dyDescent="0.3">
      <c r="A11" s="13">
        <v>2019</v>
      </c>
      <c r="B11" s="30" t="s">
        <v>253</v>
      </c>
      <c r="C11" s="30" t="s">
        <v>26</v>
      </c>
      <c r="D11" s="30" t="s">
        <v>234</v>
      </c>
      <c r="E11" s="30" t="s">
        <v>348</v>
      </c>
      <c r="F11" s="29"/>
      <c r="G11" s="30" t="s">
        <v>235</v>
      </c>
      <c r="H11" s="30" t="s">
        <v>236</v>
      </c>
      <c r="I11" s="30" t="s">
        <v>1</v>
      </c>
      <c r="J11" s="25">
        <v>43558</v>
      </c>
      <c r="K11" s="26"/>
      <c r="L11" s="26"/>
      <c r="M11" s="5"/>
      <c r="N11" s="27"/>
      <c r="O11" s="28"/>
      <c r="P11" s="29">
        <v>20000</v>
      </c>
      <c r="Q11" s="19"/>
      <c r="R11" s="4"/>
    </row>
    <row r="12" spans="1:18" s="8" customFormat="1" ht="100" customHeight="1" x14ac:dyDescent="0.3">
      <c r="A12" s="13">
        <v>2019</v>
      </c>
      <c r="B12" s="30" t="s">
        <v>254</v>
      </c>
      <c r="C12" s="30" t="s">
        <v>78</v>
      </c>
      <c r="D12" s="30" t="s">
        <v>237</v>
      </c>
      <c r="E12" s="30" t="s">
        <v>347</v>
      </c>
      <c r="F12" s="29"/>
      <c r="G12" s="30" t="s">
        <v>238</v>
      </c>
      <c r="H12" s="30" t="s">
        <v>239</v>
      </c>
      <c r="I12" s="30" t="s">
        <v>1</v>
      </c>
      <c r="J12" s="25">
        <v>43714</v>
      </c>
      <c r="K12" s="26"/>
      <c r="L12" s="26"/>
      <c r="M12" s="5"/>
      <c r="N12" s="27"/>
      <c r="O12" s="28"/>
      <c r="P12" s="29">
        <v>101000</v>
      </c>
      <c r="Q12" s="19"/>
      <c r="R12" s="4"/>
    </row>
    <row r="13" spans="1:18" s="8" customFormat="1" ht="100" customHeight="1" x14ac:dyDescent="0.3">
      <c r="A13" s="13">
        <v>2019</v>
      </c>
      <c r="B13" s="30" t="s">
        <v>255</v>
      </c>
      <c r="C13" s="30" t="s">
        <v>240</v>
      </c>
      <c r="D13" s="30" t="s">
        <v>241</v>
      </c>
      <c r="E13" s="30" t="s">
        <v>120</v>
      </c>
      <c r="F13" s="29" t="s">
        <v>344</v>
      </c>
      <c r="G13" s="30" t="s">
        <v>5</v>
      </c>
      <c r="H13" s="30" t="s">
        <v>242</v>
      </c>
      <c r="I13" s="30" t="s">
        <v>1</v>
      </c>
      <c r="J13" s="25">
        <v>43671</v>
      </c>
      <c r="K13" s="26"/>
      <c r="L13" s="26"/>
      <c r="M13" s="5"/>
      <c r="N13" s="27"/>
      <c r="O13" s="28"/>
      <c r="P13" s="29">
        <v>180000</v>
      </c>
      <c r="Q13" s="19"/>
      <c r="R13" s="4"/>
    </row>
    <row r="14" spans="1:18" s="8" customFormat="1" ht="100" customHeight="1" x14ac:dyDescent="0.3">
      <c r="A14" s="13">
        <v>2019</v>
      </c>
      <c r="B14" s="30" t="s">
        <v>256</v>
      </c>
      <c r="C14" s="30" t="s">
        <v>243</v>
      </c>
      <c r="D14" s="30" t="s">
        <v>244</v>
      </c>
      <c r="E14" s="30" t="s">
        <v>79</v>
      </c>
      <c r="F14" s="29" t="s">
        <v>345</v>
      </c>
      <c r="G14" s="30" t="s">
        <v>245</v>
      </c>
      <c r="H14" s="30" t="s">
        <v>246</v>
      </c>
      <c r="I14" s="30" t="s">
        <v>1</v>
      </c>
      <c r="J14" s="25">
        <v>43717</v>
      </c>
      <c r="K14" s="26"/>
      <c r="L14" s="26"/>
      <c r="M14" s="5"/>
      <c r="N14" s="27"/>
      <c r="O14" s="28"/>
      <c r="P14" s="29">
        <v>280000</v>
      </c>
      <c r="Q14" s="19"/>
      <c r="R14" s="4"/>
    </row>
    <row r="15" spans="1:18" s="8" customFormat="1" ht="100" customHeight="1" x14ac:dyDescent="0.3">
      <c r="A15" s="13">
        <v>2019</v>
      </c>
      <c r="B15" s="30" t="s">
        <v>257</v>
      </c>
      <c r="C15" s="30" t="s">
        <v>293</v>
      </c>
      <c r="D15" s="30" t="s">
        <v>247</v>
      </c>
      <c r="E15" s="30" t="s">
        <v>81</v>
      </c>
      <c r="F15" s="29" t="s">
        <v>346</v>
      </c>
      <c r="G15" s="30" t="s">
        <v>248</v>
      </c>
      <c r="H15" s="30" t="s">
        <v>249</v>
      </c>
      <c r="I15" s="30" t="s">
        <v>1</v>
      </c>
      <c r="J15" s="25">
        <v>43819</v>
      </c>
      <c r="K15" s="26"/>
      <c r="L15" s="26"/>
      <c r="M15" s="5"/>
      <c r="N15" s="27"/>
      <c r="O15" s="28"/>
      <c r="P15" s="29">
        <v>18500</v>
      </c>
      <c r="Q15" s="19"/>
      <c r="R15" s="4"/>
    </row>
    <row r="16" spans="1:18" s="8" customFormat="1" ht="100" customHeight="1" x14ac:dyDescent="0.3">
      <c r="A16" s="14">
        <v>2020</v>
      </c>
      <c r="B16" s="23" t="s">
        <v>225</v>
      </c>
      <c r="C16" s="23" t="s">
        <v>227</v>
      </c>
      <c r="D16" s="23" t="s">
        <v>226</v>
      </c>
      <c r="E16" s="24" t="s">
        <v>57</v>
      </c>
      <c r="F16" s="23"/>
      <c r="G16" s="23" t="s">
        <v>229</v>
      </c>
      <c r="H16" s="23" t="s">
        <v>251</v>
      </c>
      <c r="I16" s="23" t="s">
        <v>11</v>
      </c>
      <c r="J16" s="25">
        <v>43937</v>
      </c>
      <c r="K16" s="26">
        <v>44301</v>
      </c>
      <c r="L16" s="26"/>
      <c r="M16" s="5">
        <f>+ROUND(10/21,4)+11+ROUND(11/22,4)</f>
        <v>11.9762</v>
      </c>
      <c r="N16" s="27">
        <v>0</v>
      </c>
      <c r="O16" s="28">
        <v>2200</v>
      </c>
      <c r="P16" s="29">
        <f>ROUND(M16*O16,2)</f>
        <v>26347.64</v>
      </c>
      <c r="Q16" s="18">
        <v>0</v>
      </c>
      <c r="R16" s="10">
        <v>0</v>
      </c>
    </row>
    <row r="17" spans="1:18" s="8" customFormat="1" ht="100" customHeight="1" x14ac:dyDescent="0.3">
      <c r="A17" s="14">
        <v>2020</v>
      </c>
      <c r="B17" s="23" t="s">
        <v>225</v>
      </c>
      <c r="C17" s="23" t="s">
        <v>227</v>
      </c>
      <c r="D17" s="23" t="s">
        <v>226</v>
      </c>
      <c r="E17" s="24" t="s">
        <v>163</v>
      </c>
      <c r="F17" s="23" t="s">
        <v>211</v>
      </c>
      <c r="G17" s="23" t="s">
        <v>229</v>
      </c>
      <c r="H17" s="23" t="s">
        <v>251</v>
      </c>
      <c r="I17" s="23" t="s">
        <v>11</v>
      </c>
      <c r="J17" s="25">
        <v>44302</v>
      </c>
      <c r="K17" s="26">
        <v>44666</v>
      </c>
      <c r="L17" s="26"/>
      <c r="M17" s="5">
        <f>+ROUND(11/22,4)+11+ROUND(11/21,4)</f>
        <v>12.0238</v>
      </c>
      <c r="N17" s="27">
        <v>0</v>
      </c>
      <c r="O17" s="28">
        <v>2420</v>
      </c>
      <c r="P17" s="29">
        <f>ROUND(M17*O17,2)</f>
        <v>29097.599999999999</v>
      </c>
      <c r="Q17" s="18">
        <v>0</v>
      </c>
      <c r="R17" s="10">
        <v>0</v>
      </c>
    </row>
    <row r="18" spans="1:18" s="8" customFormat="1" ht="100" customHeight="1" x14ac:dyDescent="0.3">
      <c r="A18" s="14">
        <v>2020</v>
      </c>
      <c r="B18" s="23" t="s">
        <v>225</v>
      </c>
      <c r="C18" s="23" t="s">
        <v>227</v>
      </c>
      <c r="D18" s="23" t="s">
        <v>226</v>
      </c>
      <c r="E18" s="24" t="s">
        <v>56</v>
      </c>
      <c r="F18" s="23"/>
      <c r="G18" s="23" t="s">
        <v>229</v>
      </c>
      <c r="H18" s="23" t="s">
        <v>251</v>
      </c>
      <c r="I18" s="23" t="s">
        <v>11</v>
      </c>
      <c r="J18" s="25">
        <v>43934</v>
      </c>
      <c r="K18" s="26">
        <v>44298</v>
      </c>
      <c r="L18" s="26"/>
      <c r="M18" s="5">
        <f>+ROUND(13/21,4)+11+ROUND(8/22,4)</f>
        <v>11.9826</v>
      </c>
      <c r="N18" s="27">
        <v>0</v>
      </c>
      <c r="O18" s="28">
        <v>2200</v>
      </c>
      <c r="P18" s="29">
        <f>ROUND(M18*O18,2)</f>
        <v>26361.72</v>
      </c>
      <c r="Q18" s="18">
        <v>0</v>
      </c>
      <c r="R18" s="10">
        <v>0</v>
      </c>
    </row>
    <row r="19" spans="1:18" s="8" customFormat="1" ht="100" customHeight="1" x14ac:dyDescent="0.3">
      <c r="A19" s="14">
        <v>2020</v>
      </c>
      <c r="B19" s="23" t="s">
        <v>225</v>
      </c>
      <c r="C19" s="23" t="s">
        <v>227</v>
      </c>
      <c r="D19" s="23" t="s">
        <v>226</v>
      </c>
      <c r="E19" s="24" t="s">
        <v>162</v>
      </c>
      <c r="F19" s="23" t="s">
        <v>161</v>
      </c>
      <c r="G19" s="23" t="s">
        <v>229</v>
      </c>
      <c r="H19" s="23" t="s">
        <v>251</v>
      </c>
      <c r="I19" s="23" t="s">
        <v>11</v>
      </c>
      <c r="J19" s="25">
        <v>44299</v>
      </c>
      <c r="K19" s="26">
        <v>44663</v>
      </c>
      <c r="L19" s="26"/>
      <c r="M19" s="5">
        <f>+ROUND(14/22,4)+11+ROUND(9/21,4)</f>
        <v>12.065</v>
      </c>
      <c r="N19" s="27">
        <v>0</v>
      </c>
      <c r="O19" s="28">
        <v>2420</v>
      </c>
      <c r="P19" s="29">
        <f>ROUND(M19*O19,2)</f>
        <v>29197.3</v>
      </c>
      <c r="Q19" s="18">
        <v>0</v>
      </c>
      <c r="R19" s="10">
        <v>0</v>
      </c>
    </row>
    <row r="20" spans="1:18" s="8" customFormat="1" ht="100" customHeight="1" x14ac:dyDescent="0.3">
      <c r="A20" s="14">
        <v>2020</v>
      </c>
      <c r="B20" s="23" t="s">
        <v>225</v>
      </c>
      <c r="C20" s="23" t="s">
        <v>227</v>
      </c>
      <c r="D20" s="23" t="s">
        <v>226</v>
      </c>
      <c r="E20" s="24" t="s">
        <v>189</v>
      </c>
      <c r="F20" s="23" t="s">
        <v>210</v>
      </c>
      <c r="G20" s="23" t="s">
        <v>229</v>
      </c>
      <c r="H20" s="23" t="s">
        <v>251</v>
      </c>
      <c r="I20" s="23" t="s">
        <v>11</v>
      </c>
      <c r="J20" s="25">
        <v>44347</v>
      </c>
      <c r="K20" s="26">
        <v>44620</v>
      </c>
      <c r="L20" s="26"/>
      <c r="M20" s="5">
        <f>+ROUND(1/18,4)+9</f>
        <v>9.0556000000000001</v>
      </c>
      <c r="N20" s="27">
        <v>0</v>
      </c>
      <c r="O20" s="28">
        <v>2100</v>
      </c>
      <c r="P20" s="29">
        <f>ROUND(M20*O20,2)</f>
        <v>19016.759999999998</v>
      </c>
      <c r="Q20" s="18">
        <v>0</v>
      </c>
      <c r="R20" s="10">
        <v>0</v>
      </c>
    </row>
    <row r="21" spans="1:18" s="8" customFormat="1" ht="100" customHeight="1" x14ac:dyDescent="0.3">
      <c r="A21" s="14">
        <v>2020</v>
      </c>
      <c r="B21" s="23" t="s">
        <v>225</v>
      </c>
      <c r="C21" s="23" t="s">
        <v>227</v>
      </c>
      <c r="D21" s="23" t="s">
        <v>226</v>
      </c>
      <c r="E21" s="24" t="s">
        <v>22</v>
      </c>
      <c r="F21" s="23"/>
      <c r="G21" s="23" t="s">
        <v>229</v>
      </c>
      <c r="H21" s="23" t="s">
        <v>251</v>
      </c>
      <c r="I21" s="23" t="s">
        <v>11</v>
      </c>
      <c r="J21" s="25">
        <v>43878</v>
      </c>
      <c r="K21" s="26">
        <v>44243</v>
      </c>
      <c r="L21" s="26"/>
      <c r="M21" s="5">
        <v>12</v>
      </c>
      <c r="N21" s="27">
        <v>0</v>
      </c>
      <c r="O21" s="28">
        <v>5000</v>
      </c>
      <c r="P21" s="29">
        <f>ROUND(M21*O21,2)</f>
        <v>60000</v>
      </c>
      <c r="Q21" s="18">
        <v>0</v>
      </c>
      <c r="R21" s="10">
        <v>0</v>
      </c>
    </row>
    <row r="22" spans="1:18" s="8" customFormat="1" ht="100" customHeight="1" x14ac:dyDescent="0.3">
      <c r="A22" s="14">
        <v>2020</v>
      </c>
      <c r="B22" s="23" t="s">
        <v>225</v>
      </c>
      <c r="C22" s="23" t="s">
        <v>227</v>
      </c>
      <c r="D22" s="23" t="s">
        <v>226</v>
      </c>
      <c r="E22" s="24" t="s">
        <v>23</v>
      </c>
      <c r="F22" s="23"/>
      <c r="G22" s="23" t="s">
        <v>229</v>
      </c>
      <c r="H22" s="23" t="s">
        <v>251</v>
      </c>
      <c r="I22" s="23" t="s">
        <v>11</v>
      </c>
      <c r="J22" s="25">
        <v>43868</v>
      </c>
      <c r="K22" s="26">
        <v>44233</v>
      </c>
      <c r="L22" s="26"/>
      <c r="M22" s="5">
        <v>12</v>
      </c>
      <c r="N22" s="27">
        <v>0</v>
      </c>
      <c r="O22" s="28">
        <v>5000</v>
      </c>
      <c r="P22" s="29">
        <f>ROUND(M22*O22,2)</f>
        <v>60000</v>
      </c>
      <c r="Q22" s="18">
        <v>0</v>
      </c>
      <c r="R22" s="10">
        <v>0</v>
      </c>
    </row>
    <row r="23" spans="1:18" s="8" customFormat="1" ht="100" customHeight="1" x14ac:dyDescent="0.3">
      <c r="A23" s="14">
        <v>2020</v>
      </c>
      <c r="B23" s="23" t="s">
        <v>225</v>
      </c>
      <c r="C23" s="23" t="s">
        <v>227</v>
      </c>
      <c r="D23" s="23" t="s">
        <v>226</v>
      </c>
      <c r="E23" s="24" t="s">
        <v>20</v>
      </c>
      <c r="F23" s="23" t="s">
        <v>126</v>
      </c>
      <c r="G23" s="23" t="s">
        <v>229</v>
      </c>
      <c r="H23" s="23" t="s">
        <v>251</v>
      </c>
      <c r="I23" s="23" t="s">
        <v>1</v>
      </c>
      <c r="J23" s="25">
        <v>43857</v>
      </c>
      <c r="K23" s="26">
        <v>43921</v>
      </c>
      <c r="L23" s="26"/>
      <c r="M23" s="5">
        <v>25</v>
      </c>
      <c r="N23" s="27">
        <v>0</v>
      </c>
      <c r="O23" s="28">
        <v>450</v>
      </c>
      <c r="P23" s="29">
        <f>ROUND(M23*O23,2)</f>
        <v>11250</v>
      </c>
      <c r="Q23" s="18">
        <v>25</v>
      </c>
      <c r="R23" s="10">
        <v>0</v>
      </c>
    </row>
    <row r="24" spans="1:18" s="8" customFormat="1" ht="100" customHeight="1" x14ac:dyDescent="0.3">
      <c r="A24" s="14">
        <v>2020</v>
      </c>
      <c r="B24" s="23" t="s">
        <v>225</v>
      </c>
      <c r="C24" s="23" t="s">
        <v>227</v>
      </c>
      <c r="D24" s="23" t="s">
        <v>226</v>
      </c>
      <c r="E24" s="24" t="s">
        <v>27</v>
      </c>
      <c r="F24" s="23" t="s">
        <v>69</v>
      </c>
      <c r="G24" s="23" t="s">
        <v>229</v>
      </c>
      <c r="H24" s="23" t="s">
        <v>251</v>
      </c>
      <c r="I24" s="23" t="s">
        <v>11</v>
      </c>
      <c r="J24" s="25">
        <v>43868</v>
      </c>
      <c r="K24" s="26">
        <v>44233</v>
      </c>
      <c r="L24" s="26"/>
      <c r="M24" s="5">
        <v>12</v>
      </c>
      <c r="N24" s="27">
        <v>0</v>
      </c>
      <c r="O24" s="28">
        <v>2500</v>
      </c>
      <c r="P24" s="29">
        <f>ROUND(M24*O24,2)</f>
        <v>30000</v>
      </c>
      <c r="Q24" s="18">
        <v>0</v>
      </c>
      <c r="R24" s="10">
        <v>0</v>
      </c>
    </row>
    <row r="25" spans="1:18" s="8" customFormat="1" ht="100" customHeight="1" x14ac:dyDescent="0.3">
      <c r="A25" s="14">
        <v>2020</v>
      </c>
      <c r="B25" s="23" t="s">
        <v>225</v>
      </c>
      <c r="C25" s="23" t="s">
        <v>227</v>
      </c>
      <c r="D25" s="23" t="s">
        <v>226</v>
      </c>
      <c r="E25" s="24" t="s">
        <v>32</v>
      </c>
      <c r="F25" s="23" t="s">
        <v>70</v>
      </c>
      <c r="G25" s="23" t="s">
        <v>229</v>
      </c>
      <c r="H25" s="23" t="s">
        <v>251</v>
      </c>
      <c r="I25" s="23" t="s">
        <v>11</v>
      </c>
      <c r="J25" s="25">
        <v>43906</v>
      </c>
      <c r="K25" s="26">
        <v>44270</v>
      </c>
      <c r="L25" s="26"/>
      <c r="M25" s="5">
        <f>+ROUND(12/21,4)+11+ROUND(10/22,4)</f>
        <v>12.0259</v>
      </c>
      <c r="N25" s="27">
        <v>0</v>
      </c>
      <c r="O25" s="28">
        <v>2000</v>
      </c>
      <c r="P25" s="29">
        <f>ROUND(M25*O25,2)</f>
        <v>24051.8</v>
      </c>
      <c r="Q25" s="18">
        <v>0</v>
      </c>
      <c r="R25" s="10">
        <v>0</v>
      </c>
    </row>
    <row r="26" spans="1:18" s="8" customFormat="1" ht="100" customHeight="1" x14ac:dyDescent="0.3">
      <c r="A26" s="14">
        <v>2020</v>
      </c>
      <c r="B26" s="23" t="s">
        <v>225</v>
      </c>
      <c r="C26" s="23" t="s">
        <v>227</v>
      </c>
      <c r="D26" s="23" t="s">
        <v>226</v>
      </c>
      <c r="E26" s="24" t="s">
        <v>33</v>
      </c>
      <c r="F26" s="23" t="s">
        <v>71</v>
      </c>
      <c r="G26" s="23" t="s">
        <v>229</v>
      </c>
      <c r="H26" s="23" t="s">
        <v>251</v>
      </c>
      <c r="I26" s="23" t="s">
        <v>11</v>
      </c>
      <c r="J26" s="25">
        <v>43906</v>
      </c>
      <c r="K26" s="26">
        <v>44270</v>
      </c>
      <c r="L26" s="26"/>
      <c r="M26" s="5">
        <v>12</v>
      </c>
      <c r="N26" s="27">
        <v>0</v>
      </c>
      <c r="O26" s="28">
        <v>2000</v>
      </c>
      <c r="P26" s="29">
        <f>ROUND(M26*O26,2)</f>
        <v>24000</v>
      </c>
      <c r="Q26" s="18">
        <v>0</v>
      </c>
      <c r="R26" s="10">
        <v>0</v>
      </c>
    </row>
    <row r="27" spans="1:18" s="8" customFormat="1" ht="100" customHeight="1" x14ac:dyDescent="0.3">
      <c r="A27" s="14">
        <v>2020</v>
      </c>
      <c r="B27" s="23" t="s">
        <v>225</v>
      </c>
      <c r="C27" s="23" t="s">
        <v>227</v>
      </c>
      <c r="D27" s="23" t="s">
        <v>226</v>
      </c>
      <c r="E27" s="24" t="s">
        <v>53</v>
      </c>
      <c r="F27" s="23" t="s">
        <v>72</v>
      </c>
      <c r="G27" s="23" t="s">
        <v>229</v>
      </c>
      <c r="H27" s="23" t="s">
        <v>251</v>
      </c>
      <c r="I27" s="23" t="s">
        <v>11</v>
      </c>
      <c r="J27" s="25">
        <v>43922</v>
      </c>
      <c r="K27" s="26">
        <v>44286</v>
      </c>
      <c r="L27" s="26"/>
      <c r="M27" s="5">
        <v>12</v>
      </c>
      <c r="N27" s="27">
        <v>0</v>
      </c>
      <c r="O27" s="28">
        <v>5000</v>
      </c>
      <c r="P27" s="29">
        <f>ROUND(M27*O27,2)</f>
        <v>60000</v>
      </c>
      <c r="Q27" s="18">
        <v>0</v>
      </c>
      <c r="R27" s="10">
        <v>0</v>
      </c>
    </row>
    <row r="28" spans="1:18" s="8" customFormat="1" ht="100" customHeight="1" x14ac:dyDescent="0.3">
      <c r="A28" s="14">
        <v>2020</v>
      </c>
      <c r="B28" s="23" t="s">
        <v>225</v>
      </c>
      <c r="C28" s="23" t="s">
        <v>227</v>
      </c>
      <c r="D28" s="23" t="s">
        <v>226</v>
      </c>
      <c r="E28" s="24" t="s">
        <v>54</v>
      </c>
      <c r="F28" s="23" t="s">
        <v>73</v>
      </c>
      <c r="G28" s="23" t="s">
        <v>229</v>
      </c>
      <c r="H28" s="23" t="s">
        <v>251</v>
      </c>
      <c r="I28" s="23" t="s">
        <v>11</v>
      </c>
      <c r="J28" s="25">
        <v>43922</v>
      </c>
      <c r="K28" s="26">
        <v>44286</v>
      </c>
      <c r="L28" s="26"/>
      <c r="M28" s="5">
        <v>12</v>
      </c>
      <c r="N28" s="27">
        <v>0</v>
      </c>
      <c r="O28" s="28">
        <v>5000</v>
      </c>
      <c r="P28" s="29">
        <f>ROUND(M28*O28,2)</f>
        <v>60000</v>
      </c>
      <c r="Q28" s="18">
        <v>0</v>
      </c>
      <c r="R28" s="10">
        <v>0</v>
      </c>
    </row>
    <row r="29" spans="1:18" s="8" customFormat="1" ht="100" customHeight="1" x14ac:dyDescent="0.3">
      <c r="A29" s="14">
        <v>2020</v>
      </c>
      <c r="B29" s="23" t="s">
        <v>225</v>
      </c>
      <c r="C29" s="23" t="s">
        <v>227</v>
      </c>
      <c r="D29" s="23" t="s">
        <v>226</v>
      </c>
      <c r="E29" s="24" t="s">
        <v>34</v>
      </c>
      <c r="F29" s="23"/>
      <c r="G29" s="23" t="s">
        <v>229</v>
      </c>
      <c r="H29" s="23" t="s">
        <v>251</v>
      </c>
      <c r="I29" s="23" t="s">
        <v>11</v>
      </c>
      <c r="J29" s="25">
        <v>43892</v>
      </c>
      <c r="K29" s="26">
        <v>44255</v>
      </c>
      <c r="L29" s="26"/>
      <c r="M29" s="5">
        <v>12</v>
      </c>
      <c r="N29" s="27">
        <v>0</v>
      </c>
      <c r="O29" s="28">
        <v>1800</v>
      </c>
      <c r="P29" s="29">
        <f>ROUND(M29*O29,2)</f>
        <v>21600</v>
      </c>
      <c r="Q29" s="18">
        <v>0</v>
      </c>
      <c r="R29" s="10">
        <v>0</v>
      </c>
    </row>
    <row r="30" spans="1:18" s="8" customFormat="1" ht="100" customHeight="1" x14ac:dyDescent="0.3">
      <c r="A30" s="14">
        <v>2020</v>
      </c>
      <c r="B30" s="23" t="s">
        <v>225</v>
      </c>
      <c r="C30" s="23" t="s">
        <v>227</v>
      </c>
      <c r="D30" s="23" t="s">
        <v>226</v>
      </c>
      <c r="E30" s="24" t="s">
        <v>35</v>
      </c>
      <c r="F30" s="23"/>
      <c r="G30" s="23" t="s">
        <v>229</v>
      </c>
      <c r="H30" s="23" t="s">
        <v>251</v>
      </c>
      <c r="I30" s="23" t="s">
        <v>11</v>
      </c>
      <c r="J30" s="25">
        <v>43892</v>
      </c>
      <c r="K30" s="26">
        <v>44074</v>
      </c>
      <c r="L30" s="26"/>
      <c r="M30" s="5">
        <v>6</v>
      </c>
      <c r="N30" s="27">
        <v>0</v>
      </c>
      <c r="O30" s="28">
        <v>2500</v>
      </c>
      <c r="P30" s="29">
        <f>ROUND(M30*O30,2)</f>
        <v>15000</v>
      </c>
      <c r="Q30" s="18">
        <v>0</v>
      </c>
      <c r="R30" s="10">
        <v>0</v>
      </c>
    </row>
    <row r="31" spans="1:18" s="8" customFormat="1" ht="100" customHeight="1" x14ac:dyDescent="0.3">
      <c r="A31" s="14">
        <v>2020</v>
      </c>
      <c r="B31" s="23" t="s">
        <v>225</v>
      </c>
      <c r="C31" s="23" t="s">
        <v>227</v>
      </c>
      <c r="D31" s="23" t="s">
        <v>226</v>
      </c>
      <c r="E31" s="24" t="s">
        <v>36</v>
      </c>
      <c r="F31" s="23"/>
      <c r="G31" s="23" t="s">
        <v>229</v>
      </c>
      <c r="H31" s="23" t="s">
        <v>251</v>
      </c>
      <c r="I31" s="23" t="s">
        <v>11</v>
      </c>
      <c r="J31" s="25">
        <v>43892</v>
      </c>
      <c r="K31" s="26">
        <v>44255</v>
      </c>
      <c r="L31" s="26"/>
      <c r="M31" s="5">
        <v>12</v>
      </c>
      <c r="N31" s="27">
        <v>0</v>
      </c>
      <c r="O31" s="28">
        <v>1700</v>
      </c>
      <c r="P31" s="29">
        <f>ROUND(M31*O31,2)</f>
        <v>20400</v>
      </c>
      <c r="Q31" s="18">
        <v>0</v>
      </c>
      <c r="R31" s="10">
        <v>0</v>
      </c>
    </row>
    <row r="32" spans="1:18" s="8" customFormat="1" ht="100" customHeight="1" x14ac:dyDescent="0.3">
      <c r="A32" s="14">
        <v>2020</v>
      </c>
      <c r="B32" s="23" t="s">
        <v>225</v>
      </c>
      <c r="C32" s="23" t="s">
        <v>227</v>
      </c>
      <c r="D32" s="23" t="s">
        <v>226</v>
      </c>
      <c r="E32" s="24" t="s">
        <v>28</v>
      </c>
      <c r="F32" s="23" t="s">
        <v>95</v>
      </c>
      <c r="G32" s="23" t="s">
        <v>229</v>
      </c>
      <c r="H32" s="23" t="s">
        <v>251</v>
      </c>
      <c r="I32" s="23" t="s">
        <v>11</v>
      </c>
      <c r="J32" s="25">
        <v>43892</v>
      </c>
      <c r="K32" s="26">
        <v>44255</v>
      </c>
      <c r="L32" s="26"/>
      <c r="M32" s="5">
        <v>12</v>
      </c>
      <c r="N32" s="27">
        <v>0</v>
      </c>
      <c r="O32" s="28">
        <v>2500</v>
      </c>
      <c r="P32" s="29">
        <f>ROUND(M32*O32,2)</f>
        <v>30000</v>
      </c>
      <c r="Q32" s="18">
        <v>0</v>
      </c>
      <c r="R32" s="10">
        <v>0</v>
      </c>
    </row>
    <row r="33" spans="1:18" s="8" customFormat="1" ht="100" customHeight="1" x14ac:dyDescent="0.3">
      <c r="A33" s="14">
        <v>2020</v>
      </c>
      <c r="B33" s="23" t="s">
        <v>225</v>
      </c>
      <c r="C33" s="23" t="s">
        <v>227</v>
      </c>
      <c r="D33" s="23" t="s">
        <v>226</v>
      </c>
      <c r="E33" s="24" t="s">
        <v>29</v>
      </c>
      <c r="F33" s="23"/>
      <c r="G33" s="23" t="s">
        <v>229</v>
      </c>
      <c r="H33" s="23" t="s">
        <v>251</v>
      </c>
      <c r="I33" s="23" t="s">
        <v>11</v>
      </c>
      <c r="J33" s="25">
        <v>43892</v>
      </c>
      <c r="K33" s="26">
        <v>44255</v>
      </c>
      <c r="L33" s="26"/>
      <c r="M33" s="5">
        <v>12</v>
      </c>
      <c r="N33" s="27">
        <v>0</v>
      </c>
      <c r="O33" s="28">
        <v>3000</v>
      </c>
      <c r="P33" s="29">
        <f>ROUND(M33*O33,2)</f>
        <v>36000</v>
      </c>
      <c r="Q33" s="18">
        <v>0</v>
      </c>
      <c r="R33" s="10">
        <v>0</v>
      </c>
    </row>
    <row r="34" spans="1:18" s="8" customFormat="1" ht="100" customHeight="1" x14ac:dyDescent="0.3">
      <c r="A34" s="14">
        <v>2020</v>
      </c>
      <c r="B34" s="23" t="s">
        <v>225</v>
      </c>
      <c r="C34" s="23" t="s">
        <v>227</v>
      </c>
      <c r="D34" s="23" t="s">
        <v>226</v>
      </c>
      <c r="E34" s="24" t="s">
        <v>31</v>
      </c>
      <c r="F34" s="23"/>
      <c r="G34" s="23" t="s">
        <v>229</v>
      </c>
      <c r="H34" s="23" t="s">
        <v>251</v>
      </c>
      <c r="I34" s="23" t="s">
        <v>11</v>
      </c>
      <c r="J34" s="25">
        <v>43892</v>
      </c>
      <c r="K34" s="26">
        <v>44255</v>
      </c>
      <c r="L34" s="26"/>
      <c r="M34" s="5">
        <v>12</v>
      </c>
      <c r="N34" s="27">
        <v>0</v>
      </c>
      <c r="O34" s="28">
        <v>1850</v>
      </c>
      <c r="P34" s="29">
        <f>ROUND(M34*O34,2)</f>
        <v>22200</v>
      </c>
      <c r="Q34" s="18">
        <v>0</v>
      </c>
      <c r="R34" s="10">
        <v>0</v>
      </c>
    </row>
    <row r="35" spans="1:18" s="8" customFormat="1" ht="100" customHeight="1" x14ac:dyDescent="0.3">
      <c r="A35" s="14">
        <v>2020</v>
      </c>
      <c r="B35" s="23" t="s">
        <v>225</v>
      </c>
      <c r="C35" s="23" t="s">
        <v>227</v>
      </c>
      <c r="D35" s="23" t="s">
        <v>226</v>
      </c>
      <c r="E35" s="24" t="s">
        <v>37</v>
      </c>
      <c r="F35" s="23"/>
      <c r="G35" s="23" t="s">
        <v>229</v>
      </c>
      <c r="H35" s="23" t="s">
        <v>251</v>
      </c>
      <c r="I35" s="23" t="s">
        <v>11</v>
      </c>
      <c r="J35" s="25">
        <v>43892</v>
      </c>
      <c r="K35" s="26">
        <v>44255</v>
      </c>
      <c r="L35" s="26"/>
      <c r="M35" s="5">
        <v>12</v>
      </c>
      <c r="N35" s="27">
        <v>0</v>
      </c>
      <c r="O35" s="28">
        <v>1800</v>
      </c>
      <c r="P35" s="29">
        <f>ROUND(M35*O35,2)</f>
        <v>21600</v>
      </c>
      <c r="Q35" s="18">
        <v>0</v>
      </c>
      <c r="R35" s="10">
        <v>0</v>
      </c>
    </row>
    <row r="36" spans="1:18" s="8" customFormat="1" ht="100" customHeight="1" x14ac:dyDescent="0.3">
      <c r="A36" s="14">
        <v>2020</v>
      </c>
      <c r="B36" s="23" t="s">
        <v>225</v>
      </c>
      <c r="C36" s="23" t="s">
        <v>227</v>
      </c>
      <c r="D36" s="23" t="s">
        <v>226</v>
      </c>
      <c r="E36" s="24" t="s">
        <v>39</v>
      </c>
      <c r="F36" s="23"/>
      <c r="G36" s="23" t="s">
        <v>229</v>
      </c>
      <c r="H36" s="23" t="s">
        <v>251</v>
      </c>
      <c r="I36" s="23" t="s">
        <v>11</v>
      </c>
      <c r="J36" s="25">
        <v>43892</v>
      </c>
      <c r="K36" s="26">
        <v>44255</v>
      </c>
      <c r="L36" s="26"/>
      <c r="M36" s="5">
        <v>12</v>
      </c>
      <c r="N36" s="27">
        <v>0</v>
      </c>
      <c r="O36" s="28">
        <v>1850</v>
      </c>
      <c r="P36" s="29">
        <f>ROUND(M36*O36,2)</f>
        <v>22200</v>
      </c>
      <c r="Q36" s="18">
        <v>0</v>
      </c>
      <c r="R36" s="10">
        <v>0</v>
      </c>
    </row>
    <row r="37" spans="1:18" s="8" customFormat="1" ht="100" customHeight="1" x14ac:dyDescent="0.3">
      <c r="A37" s="14">
        <v>2020</v>
      </c>
      <c r="B37" s="23" t="s">
        <v>225</v>
      </c>
      <c r="C37" s="23" t="s">
        <v>227</v>
      </c>
      <c r="D37" s="23" t="s">
        <v>226</v>
      </c>
      <c r="E37" s="24" t="s">
        <v>38</v>
      </c>
      <c r="F37" s="23"/>
      <c r="G37" s="23" t="s">
        <v>229</v>
      </c>
      <c r="H37" s="23" t="s">
        <v>251</v>
      </c>
      <c r="I37" s="23" t="s">
        <v>11</v>
      </c>
      <c r="J37" s="25">
        <v>43892</v>
      </c>
      <c r="K37" s="26">
        <v>44255</v>
      </c>
      <c r="L37" s="26"/>
      <c r="M37" s="5">
        <v>12</v>
      </c>
      <c r="N37" s="27">
        <v>0</v>
      </c>
      <c r="O37" s="28">
        <v>4000</v>
      </c>
      <c r="P37" s="29">
        <f>ROUND(M37*O37,2)</f>
        <v>48000</v>
      </c>
      <c r="Q37" s="18">
        <v>0</v>
      </c>
      <c r="R37" s="10">
        <v>0</v>
      </c>
    </row>
    <row r="38" spans="1:18" s="8" customFormat="1" ht="100" customHeight="1" x14ac:dyDescent="0.3">
      <c r="A38" s="14">
        <v>2020</v>
      </c>
      <c r="B38" s="23" t="s">
        <v>225</v>
      </c>
      <c r="C38" s="23" t="s">
        <v>227</v>
      </c>
      <c r="D38" s="23" t="s">
        <v>226</v>
      </c>
      <c r="E38" s="24" t="s">
        <v>40</v>
      </c>
      <c r="F38" s="23"/>
      <c r="G38" s="23" t="s">
        <v>229</v>
      </c>
      <c r="H38" s="23" t="s">
        <v>251</v>
      </c>
      <c r="I38" s="23" t="s">
        <v>11</v>
      </c>
      <c r="J38" s="25">
        <v>43900</v>
      </c>
      <c r="K38" s="26">
        <v>44264</v>
      </c>
      <c r="L38" s="26"/>
      <c r="M38" s="5">
        <f>+ROUND(16/21,4)+11+ROUND(6/22,4)</f>
        <v>12.034600000000001</v>
      </c>
      <c r="N38" s="27">
        <v>0</v>
      </c>
      <c r="O38" s="28">
        <v>5000</v>
      </c>
      <c r="P38" s="29">
        <f>ROUND(M38*O38,2)</f>
        <v>60173</v>
      </c>
      <c r="Q38" s="18">
        <v>0</v>
      </c>
      <c r="R38" s="10">
        <v>0</v>
      </c>
    </row>
    <row r="39" spans="1:18" s="8" customFormat="1" ht="100" customHeight="1" x14ac:dyDescent="0.3">
      <c r="A39" s="14">
        <v>2020</v>
      </c>
      <c r="B39" s="23" t="s">
        <v>225</v>
      </c>
      <c r="C39" s="23" t="s">
        <v>227</v>
      </c>
      <c r="D39" s="23" t="s">
        <v>226</v>
      </c>
      <c r="E39" s="24" t="s">
        <v>30</v>
      </c>
      <c r="F39" s="23" t="s">
        <v>125</v>
      </c>
      <c r="G39" s="23" t="s">
        <v>229</v>
      </c>
      <c r="H39" s="23" t="s">
        <v>251</v>
      </c>
      <c r="I39" s="23" t="s">
        <v>11</v>
      </c>
      <c r="J39" s="25">
        <v>43892</v>
      </c>
      <c r="K39" s="26">
        <v>44255</v>
      </c>
      <c r="L39" s="26"/>
      <c r="M39" s="5">
        <v>9</v>
      </c>
      <c r="N39" s="27">
        <v>0</v>
      </c>
      <c r="O39" s="28">
        <v>5000</v>
      </c>
      <c r="P39" s="29">
        <f>ROUND(M39*O39,2)</f>
        <v>45000</v>
      </c>
      <c r="Q39" s="18">
        <v>0</v>
      </c>
      <c r="R39" s="10">
        <v>0</v>
      </c>
    </row>
    <row r="40" spans="1:18" s="8" customFormat="1" ht="100" customHeight="1" x14ac:dyDescent="0.3">
      <c r="A40" s="14">
        <v>2020</v>
      </c>
      <c r="B40" s="23" t="s">
        <v>225</v>
      </c>
      <c r="C40" s="23" t="s">
        <v>227</v>
      </c>
      <c r="D40" s="23" t="s">
        <v>226</v>
      </c>
      <c r="E40" s="24" t="s">
        <v>62</v>
      </c>
      <c r="F40" s="23"/>
      <c r="G40" s="23" t="s">
        <v>229</v>
      </c>
      <c r="H40" s="23" t="s">
        <v>251</v>
      </c>
      <c r="I40" s="23" t="s">
        <v>11</v>
      </c>
      <c r="J40" s="25">
        <v>43966</v>
      </c>
      <c r="K40" s="26">
        <v>44330</v>
      </c>
      <c r="L40" s="26"/>
      <c r="M40" s="5">
        <f>+ROUND(10/19,4)+11+ROUND(7/18,4)</f>
        <v>11.915199999999999</v>
      </c>
      <c r="N40" s="27">
        <v>0</v>
      </c>
      <c r="O40" s="28">
        <v>2200</v>
      </c>
      <c r="P40" s="29">
        <f>ROUND(M40*O40,2)</f>
        <v>26213.439999999999</v>
      </c>
      <c r="Q40" s="18">
        <v>0</v>
      </c>
      <c r="R40" s="10">
        <v>0</v>
      </c>
    </row>
    <row r="41" spans="1:18" s="8" customFormat="1" ht="100" customHeight="1" x14ac:dyDescent="0.3">
      <c r="A41" s="14">
        <v>2020</v>
      </c>
      <c r="B41" s="23" t="s">
        <v>225</v>
      </c>
      <c r="C41" s="23" t="s">
        <v>227</v>
      </c>
      <c r="D41" s="23" t="s">
        <v>226</v>
      </c>
      <c r="E41" s="24" t="s">
        <v>164</v>
      </c>
      <c r="F41" s="23" t="s">
        <v>209</v>
      </c>
      <c r="G41" s="23" t="s">
        <v>229</v>
      </c>
      <c r="H41" s="23" t="s">
        <v>251</v>
      </c>
      <c r="I41" s="23" t="s">
        <v>11</v>
      </c>
      <c r="J41" s="25">
        <v>44331</v>
      </c>
      <c r="K41" s="26">
        <v>44695</v>
      </c>
      <c r="L41" s="26"/>
      <c r="M41" s="5">
        <f>+ROUND(11/18,4)+11+ROUND(7/19,4)</f>
        <v>11.9795</v>
      </c>
      <c r="N41" s="27">
        <v>0</v>
      </c>
      <c r="O41" s="28">
        <v>2420</v>
      </c>
      <c r="P41" s="29">
        <f>ROUND(M41*O41,2)</f>
        <v>28990.39</v>
      </c>
      <c r="Q41" s="18">
        <v>0</v>
      </c>
      <c r="R41" s="10">
        <v>0</v>
      </c>
    </row>
    <row r="42" spans="1:18" s="8" customFormat="1" ht="100" customHeight="1" x14ac:dyDescent="0.3">
      <c r="A42" s="14">
        <v>2020</v>
      </c>
      <c r="B42" s="23" t="s">
        <v>225</v>
      </c>
      <c r="C42" s="23" t="s">
        <v>227</v>
      </c>
      <c r="D42" s="23" t="s">
        <v>226</v>
      </c>
      <c r="E42" s="24" t="s">
        <v>41</v>
      </c>
      <c r="F42" s="23" t="s">
        <v>92</v>
      </c>
      <c r="G42" s="23" t="s">
        <v>229</v>
      </c>
      <c r="H42" s="23" t="s">
        <v>251</v>
      </c>
      <c r="I42" s="23" t="s">
        <v>11</v>
      </c>
      <c r="J42" s="25">
        <v>43906</v>
      </c>
      <c r="K42" s="26">
        <v>44270</v>
      </c>
      <c r="L42" s="26"/>
      <c r="M42" s="5">
        <f>12-7.9938</f>
        <v>4.0061999999999998</v>
      </c>
      <c r="N42" s="27">
        <v>0</v>
      </c>
      <c r="O42" s="28">
        <v>5000</v>
      </c>
      <c r="P42" s="29">
        <f>ROUND(M42*O42,2)</f>
        <v>20031</v>
      </c>
      <c r="Q42" s="18">
        <v>0</v>
      </c>
      <c r="R42" s="10">
        <v>0</v>
      </c>
    </row>
    <row r="43" spans="1:18" s="8" customFormat="1" ht="100" customHeight="1" x14ac:dyDescent="0.3">
      <c r="A43" s="14">
        <v>2020</v>
      </c>
      <c r="B43" s="23" t="s">
        <v>225</v>
      </c>
      <c r="C43" s="23" t="s">
        <v>227</v>
      </c>
      <c r="D43" s="23" t="s">
        <v>226</v>
      </c>
      <c r="E43" s="24" t="s">
        <v>42</v>
      </c>
      <c r="F43" s="23" t="s">
        <v>124</v>
      </c>
      <c r="G43" s="23" t="s">
        <v>229</v>
      </c>
      <c r="H43" s="23" t="s">
        <v>251</v>
      </c>
      <c r="I43" s="23" t="s">
        <v>11</v>
      </c>
      <c r="J43" s="25">
        <v>43906</v>
      </c>
      <c r="K43" s="26">
        <v>44270</v>
      </c>
      <c r="L43" s="26"/>
      <c r="M43" s="5">
        <f>12-8.5786</f>
        <v>3.4214000000000002</v>
      </c>
      <c r="N43" s="27">
        <v>0</v>
      </c>
      <c r="O43" s="28">
        <v>5000</v>
      </c>
      <c r="P43" s="29">
        <f>ROUND(M43*O43,2)</f>
        <v>17107</v>
      </c>
      <c r="Q43" s="18">
        <v>0</v>
      </c>
      <c r="R43" s="10">
        <v>0</v>
      </c>
    </row>
    <row r="44" spans="1:18" s="8" customFormat="1" ht="100" customHeight="1" x14ac:dyDescent="0.3">
      <c r="A44" s="14">
        <v>2020</v>
      </c>
      <c r="B44" s="23" t="s">
        <v>225</v>
      </c>
      <c r="C44" s="23" t="s">
        <v>227</v>
      </c>
      <c r="D44" s="23" t="s">
        <v>226</v>
      </c>
      <c r="E44" s="24" t="s">
        <v>43</v>
      </c>
      <c r="F44" s="23" t="s">
        <v>74</v>
      </c>
      <c r="G44" s="23" t="s">
        <v>229</v>
      </c>
      <c r="H44" s="23" t="s">
        <v>251</v>
      </c>
      <c r="I44" s="23" t="s">
        <v>11</v>
      </c>
      <c r="J44" s="25">
        <v>43906</v>
      </c>
      <c r="K44" s="26">
        <v>44270</v>
      </c>
      <c r="L44" s="26"/>
      <c r="M44" s="5">
        <v>12</v>
      </c>
      <c r="N44" s="27">
        <v>0</v>
      </c>
      <c r="O44" s="28">
        <v>5000</v>
      </c>
      <c r="P44" s="29">
        <f>ROUND(M44*O44,2)</f>
        <v>60000</v>
      </c>
      <c r="Q44" s="18">
        <v>0</v>
      </c>
      <c r="R44" s="10">
        <v>0</v>
      </c>
    </row>
    <row r="45" spans="1:18" s="8" customFormat="1" ht="100" customHeight="1" x14ac:dyDescent="0.3">
      <c r="A45" s="14">
        <v>2020</v>
      </c>
      <c r="B45" s="23" t="s">
        <v>225</v>
      </c>
      <c r="C45" s="23" t="s">
        <v>227</v>
      </c>
      <c r="D45" s="23" t="s">
        <v>226</v>
      </c>
      <c r="E45" s="24" t="s">
        <v>44</v>
      </c>
      <c r="F45" s="23" t="s">
        <v>93</v>
      </c>
      <c r="G45" s="23" t="s">
        <v>229</v>
      </c>
      <c r="H45" s="23" t="s">
        <v>251</v>
      </c>
      <c r="I45" s="23" t="s">
        <v>11</v>
      </c>
      <c r="J45" s="25">
        <v>43906</v>
      </c>
      <c r="K45" s="26">
        <v>44270</v>
      </c>
      <c r="L45" s="26"/>
      <c r="M45" s="5">
        <v>12</v>
      </c>
      <c r="N45" s="27">
        <v>0</v>
      </c>
      <c r="O45" s="28">
        <v>3500</v>
      </c>
      <c r="P45" s="29">
        <f>ROUND(M45*O45,2)</f>
        <v>42000</v>
      </c>
      <c r="Q45" s="18">
        <v>0</v>
      </c>
      <c r="R45" s="10">
        <v>0</v>
      </c>
    </row>
    <row r="46" spans="1:18" s="8" customFormat="1" ht="100" customHeight="1" x14ac:dyDescent="0.3">
      <c r="A46" s="14">
        <v>2020</v>
      </c>
      <c r="B46" s="23" t="s">
        <v>225</v>
      </c>
      <c r="C46" s="23" t="s">
        <v>227</v>
      </c>
      <c r="D46" s="23" t="s">
        <v>226</v>
      </c>
      <c r="E46" s="24" t="s">
        <v>63</v>
      </c>
      <c r="F46" s="23"/>
      <c r="G46" s="23" t="s">
        <v>229</v>
      </c>
      <c r="H46" s="23" t="s">
        <v>251</v>
      </c>
      <c r="I46" s="23" t="s">
        <v>11</v>
      </c>
      <c r="J46" s="25">
        <v>43999</v>
      </c>
      <c r="K46" s="26">
        <v>44286</v>
      </c>
      <c r="L46" s="26"/>
      <c r="M46" s="5">
        <f>+ROUND((9/20)+9,4)</f>
        <v>9.4499999999999993</v>
      </c>
      <c r="N46" s="27">
        <v>0</v>
      </c>
      <c r="O46" s="28">
        <v>3500</v>
      </c>
      <c r="P46" s="29">
        <f>ROUND(M46*O46,2)</f>
        <v>33075</v>
      </c>
      <c r="Q46" s="18">
        <v>0</v>
      </c>
      <c r="R46" s="10">
        <v>0</v>
      </c>
    </row>
    <row r="47" spans="1:18" s="8" customFormat="1" ht="100" customHeight="1" x14ac:dyDescent="0.3">
      <c r="A47" s="14">
        <v>2020</v>
      </c>
      <c r="B47" s="23" t="s">
        <v>225</v>
      </c>
      <c r="C47" s="23" t="s">
        <v>227</v>
      </c>
      <c r="D47" s="23" t="s">
        <v>226</v>
      </c>
      <c r="E47" s="24" t="s">
        <v>77</v>
      </c>
      <c r="F47" s="23"/>
      <c r="G47" s="23" t="s">
        <v>229</v>
      </c>
      <c r="H47" s="23" t="s">
        <v>251</v>
      </c>
      <c r="I47" s="23" t="s">
        <v>11</v>
      </c>
      <c r="J47" s="25">
        <v>43992</v>
      </c>
      <c r="K47" s="26">
        <v>44286</v>
      </c>
      <c r="L47" s="26"/>
      <c r="M47" s="31">
        <f>+ROUND((14/20)+9,4)</f>
        <v>9.6999999999999993</v>
      </c>
      <c r="N47" s="27">
        <v>0</v>
      </c>
      <c r="O47" s="28">
        <v>2500</v>
      </c>
      <c r="P47" s="29">
        <f>ROUND(M47*O47,2)</f>
        <v>24250</v>
      </c>
      <c r="Q47" s="18">
        <v>0</v>
      </c>
      <c r="R47" s="10">
        <v>0</v>
      </c>
    </row>
    <row r="48" spans="1:18" s="8" customFormat="1" ht="100" customHeight="1" x14ac:dyDescent="0.3">
      <c r="A48" s="14">
        <v>2020</v>
      </c>
      <c r="B48" s="23" t="s">
        <v>225</v>
      </c>
      <c r="C48" s="23" t="s">
        <v>227</v>
      </c>
      <c r="D48" s="23" t="s">
        <v>226</v>
      </c>
      <c r="E48" s="24" t="s">
        <v>45</v>
      </c>
      <c r="F48" s="32" t="s">
        <v>134</v>
      </c>
      <c r="G48" s="23" t="s">
        <v>229</v>
      </c>
      <c r="H48" s="23" t="s">
        <v>251</v>
      </c>
      <c r="I48" s="23" t="s">
        <v>11</v>
      </c>
      <c r="J48" s="25">
        <v>43892</v>
      </c>
      <c r="K48" s="26">
        <v>44255</v>
      </c>
      <c r="L48" s="26">
        <v>44316</v>
      </c>
      <c r="M48" s="5">
        <v>14</v>
      </c>
      <c r="N48" s="27">
        <v>0</v>
      </c>
      <c r="O48" s="28">
        <v>2500</v>
      </c>
      <c r="P48" s="29">
        <f>ROUND(M48*O48,2)</f>
        <v>35000</v>
      </c>
      <c r="Q48" s="18">
        <v>0</v>
      </c>
      <c r="R48" s="10">
        <v>0</v>
      </c>
    </row>
    <row r="49" spans="1:18" s="8" customFormat="1" ht="100" customHeight="1" x14ac:dyDescent="0.3">
      <c r="A49" s="14">
        <v>2020</v>
      </c>
      <c r="B49" s="23" t="s">
        <v>225</v>
      </c>
      <c r="C49" s="23" t="s">
        <v>227</v>
      </c>
      <c r="D49" s="23" t="s">
        <v>226</v>
      </c>
      <c r="E49" s="24" t="s">
        <v>83</v>
      </c>
      <c r="F49" s="23" t="s">
        <v>98</v>
      </c>
      <c r="G49" s="23" t="s">
        <v>229</v>
      </c>
      <c r="H49" s="23" t="s">
        <v>251</v>
      </c>
      <c r="I49" s="23" t="s">
        <v>11</v>
      </c>
      <c r="J49" s="25">
        <v>44019</v>
      </c>
      <c r="K49" s="26">
        <v>44286</v>
      </c>
      <c r="L49" s="26"/>
      <c r="M49" s="5">
        <f>+ROUND((19/23)+8,4)</f>
        <v>8.8261000000000003</v>
      </c>
      <c r="N49" s="27">
        <v>0</v>
      </c>
      <c r="O49" s="28">
        <v>2500</v>
      </c>
      <c r="P49" s="29">
        <f>ROUND(M49*O49,2)</f>
        <v>22065.25</v>
      </c>
      <c r="Q49" s="18">
        <v>0</v>
      </c>
      <c r="R49" s="10">
        <v>0</v>
      </c>
    </row>
    <row r="50" spans="1:18" s="8" customFormat="1" ht="100" customHeight="1" x14ac:dyDescent="0.3">
      <c r="A50" s="14">
        <v>2020</v>
      </c>
      <c r="B50" s="23" t="s">
        <v>225</v>
      </c>
      <c r="C50" s="23" t="s">
        <v>227</v>
      </c>
      <c r="D50" s="23" t="s">
        <v>226</v>
      </c>
      <c r="E50" s="24" t="s">
        <v>52</v>
      </c>
      <c r="F50" s="23"/>
      <c r="G50" s="23" t="s">
        <v>229</v>
      </c>
      <c r="H50" s="23" t="s">
        <v>251</v>
      </c>
      <c r="I50" s="23" t="s">
        <v>11</v>
      </c>
      <c r="J50" s="25">
        <v>43922</v>
      </c>
      <c r="K50" s="26">
        <v>44286</v>
      </c>
      <c r="L50" s="26"/>
      <c r="M50" s="5">
        <v>12</v>
      </c>
      <c r="N50" s="27">
        <v>0</v>
      </c>
      <c r="O50" s="28">
        <v>2000</v>
      </c>
      <c r="P50" s="29">
        <f>ROUND(M50*O50,2)</f>
        <v>24000</v>
      </c>
      <c r="Q50" s="18">
        <v>0</v>
      </c>
      <c r="R50" s="10">
        <v>0</v>
      </c>
    </row>
    <row r="51" spans="1:18" s="8" customFormat="1" ht="100" customHeight="1" x14ac:dyDescent="0.3">
      <c r="A51" s="14">
        <v>2020</v>
      </c>
      <c r="B51" s="23" t="s">
        <v>225</v>
      </c>
      <c r="C51" s="23" t="s">
        <v>227</v>
      </c>
      <c r="D51" s="23" t="s">
        <v>226</v>
      </c>
      <c r="E51" s="24" t="s">
        <v>55</v>
      </c>
      <c r="F51" s="23" t="s">
        <v>130</v>
      </c>
      <c r="G51" s="23" t="s">
        <v>229</v>
      </c>
      <c r="H51" s="23" t="s">
        <v>251</v>
      </c>
      <c r="I51" s="23" t="s">
        <v>11</v>
      </c>
      <c r="J51" s="25">
        <v>43922</v>
      </c>
      <c r="K51" s="26">
        <v>44104</v>
      </c>
      <c r="L51" s="26"/>
      <c r="M51" s="5">
        <v>6</v>
      </c>
      <c r="N51" s="27">
        <v>0</v>
      </c>
      <c r="O51" s="28">
        <v>2500</v>
      </c>
      <c r="P51" s="29">
        <f>ROUND(M51*O51,2)</f>
        <v>15000</v>
      </c>
      <c r="Q51" s="18">
        <v>0</v>
      </c>
      <c r="R51" s="10">
        <v>0</v>
      </c>
    </row>
    <row r="52" spans="1:18" s="8" customFormat="1" ht="100" customHeight="1" x14ac:dyDescent="0.3">
      <c r="A52" s="14">
        <v>2020</v>
      </c>
      <c r="B52" s="23" t="s">
        <v>225</v>
      </c>
      <c r="C52" s="23" t="s">
        <v>227</v>
      </c>
      <c r="D52" s="23" t="s">
        <v>226</v>
      </c>
      <c r="E52" s="24" t="s">
        <v>51</v>
      </c>
      <c r="F52" s="23" t="s">
        <v>110</v>
      </c>
      <c r="G52" s="23" t="s">
        <v>229</v>
      </c>
      <c r="H52" s="23" t="s">
        <v>251</v>
      </c>
      <c r="I52" s="23" t="s">
        <v>11</v>
      </c>
      <c r="J52" s="25">
        <v>43922</v>
      </c>
      <c r="K52" s="26">
        <v>44286</v>
      </c>
      <c r="L52" s="26"/>
      <c r="M52" s="5">
        <v>12</v>
      </c>
      <c r="N52" s="27">
        <v>0</v>
      </c>
      <c r="O52" s="28">
        <v>4500</v>
      </c>
      <c r="P52" s="29">
        <f>ROUND(M52*O52,2)</f>
        <v>54000</v>
      </c>
      <c r="Q52" s="18">
        <v>0</v>
      </c>
      <c r="R52" s="10">
        <v>0</v>
      </c>
    </row>
    <row r="53" spans="1:18" s="8" customFormat="1" ht="100" customHeight="1" x14ac:dyDescent="0.3">
      <c r="A53" s="14">
        <v>2020</v>
      </c>
      <c r="B53" s="23" t="s">
        <v>225</v>
      </c>
      <c r="C53" s="23" t="s">
        <v>227</v>
      </c>
      <c r="D53" s="23" t="s">
        <v>226</v>
      </c>
      <c r="E53" s="24" t="s">
        <v>50</v>
      </c>
      <c r="F53" s="23" t="s">
        <v>76</v>
      </c>
      <c r="G53" s="23" t="s">
        <v>229</v>
      </c>
      <c r="H53" s="23" t="s">
        <v>251</v>
      </c>
      <c r="I53" s="23" t="s">
        <v>11</v>
      </c>
      <c r="J53" s="25">
        <v>43922</v>
      </c>
      <c r="K53" s="26">
        <v>44165</v>
      </c>
      <c r="L53" s="26"/>
      <c r="M53" s="5">
        <v>8</v>
      </c>
      <c r="N53" s="27">
        <v>0</v>
      </c>
      <c r="O53" s="28">
        <v>5000</v>
      </c>
      <c r="P53" s="29">
        <f>ROUND(M53*O53,2)</f>
        <v>40000</v>
      </c>
      <c r="Q53" s="18">
        <v>0</v>
      </c>
      <c r="R53" s="10">
        <v>0</v>
      </c>
    </row>
    <row r="54" spans="1:18" s="8" customFormat="1" ht="100" customHeight="1" x14ac:dyDescent="0.3">
      <c r="A54" s="14">
        <v>2020</v>
      </c>
      <c r="B54" s="23" t="s">
        <v>225</v>
      </c>
      <c r="C54" s="23" t="s">
        <v>227</v>
      </c>
      <c r="D54" s="23" t="s">
        <v>226</v>
      </c>
      <c r="E54" s="24" t="s">
        <v>59</v>
      </c>
      <c r="F54" s="23" t="s">
        <v>127</v>
      </c>
      <c r="G54" s="23" t="s">
        <v>229</v>
      </c>
      <c r="H54" s="23" t="s">
        <v>251</v>
      </c>
      <c r="I54" s="23" t="s">
        <v>11</v>
      </c>
      <c r="J54" s="25">
        <v>43971</v>
      </c>
      <c r="K54" s="26">
        <v>44216</v>
      </c>
      <c r="L54" s="26"/>
      <c r="M54" s="5">
        <v>8</v>
      </c>
      <c r="N54" s="27">
        <v>0</v>
      </c>
      <c r="O54" s="28">
        <v>3000</v>
      </c>
      <c r="P54" s="29">
        <f>ROUND(M54*O54,2)</f>
        <v>24000</v>
      </c>
      <c r="Q54" s="18">
        <v>0</v>
      </c>
      <c r="R54" s="10">
        <v>0</v>
      </c>
    </row>
    <row r="55" spans="1:18" s="8" customFormat="1" ht="100" customHeight="1" x14ac:dyDescent="0.3">
      <c r="A55" s="14">
        <v>2020</v>
      </c>
      <c r="B55" s="23" t="s">
        <v>225</v>
      </c>
      <c r="C55" s="23" t="s">
        <v>227</v>
      </c>
      <c r="D55" s="23" t="s">
        <v>226</v>
      </c>
      <c r="E55" s="24" t="s">
        <v>60</v>
      </c>
      <c r="F55" s="23" t="s">
        <v>133</v>
      </c>
      <c r="G55" s="23" t="s">
        <v>229</v>
      </c>
      <c r="H55" s="23" t="s">
        <v>251</v>
      </c>
      <c r="I55" s="23" t="s">
        <v>11</v>
      </c>
      <c r="J55" s="25">
        <v>43971</v>
      </c>
      <c r="K55" s="26">
        <v>44286</v>
      </c>
      <c r="L55" s="26"/>
      <c r="M55" s="5">
        <f>+ROUND((8/19)+10,4)</f>
        <v>10.421099999999999</v>
      </c>
      <c r="N55" s="27">
        <v>0</v>
      </c>
      <c r="O55" s="28">
        <v>3000</v>
      </c>
      <c r="P55" s="29">
        <f>ROUND(M55*O55,2)</f>
        <v>31263.3</v>
      </c>
      <c r="Q55" s="18">
        <v>0</v>
      </c>
      <c r="R55" s="10">
        <v>0</v>
      </c>
    </row>
    <row r="56" spans="1:18" s="8" customFormat="1" ht="100" customHeight="1" x14ac:dyDescent="0.3">
      <c r="A56" s="14">
        <v>2020</v>
      </c>
      <c r="B56" s="23" t="s">
        <v>225</v>
      </c>
      <c r="C56" s="23" t="s">
        <v>227</v>
      </c>
      <c r="D56" s="23" t="s">
        <v>226</v>
      </c>
      <c r="E56" s="24" t="s">
        <v>65</v>
      </c>
      <c r="F56" s="23"/>
      <c r="G56" s="23" t="s">
        <v>229</v>
      </c>
      <c r="H56" s="23" t="s">
        <v>251</v>
      </c>
      <c r="I56" s="23" t="s">
        <v>11</v>
      </c>
      <c r="J56" s="25">
        <v>43983</v>
      </c>
      <c r="K56" s="26">
        <v>44227</v>
      </c>
      <c r="L56" s="26"/>
      <c r="M56" s="5">
        <v>8</v>
      </c>
      <c r="N56" s="27">
        <v>0</v>
      </c>
      <c r="O56" s="28">
        <v>5000</v>
      </c>
      <c r="P56" s="29">
        <f>ROUND(M56*O56,2)</f>
        <v>40000</v>
      </c>
      <c r="Q56" s="18">
        <v>0</v>
      </c>
      <c r="R56" s="10">
        <v>0</v>
      </c>
    </row>
    <row r="57" spans="1:18" s="8" customFormat="1" ht="100" customHeight="1" x14ac:dyDescent="0.3">
      <c r="A57" s="14">
        <v>2020</v>
      </c>
      <c r="B57" s="23" t="s">
        <v>225</v>
      </c>
      <c r="C57" s="23" t="s">
        <v>227</v>
      </c>
      <c r="D57" s="23" t="s">
        <v>226</v>
      </c>
      <c r="E57" s="24" t="s">
        <v>66</v>
      </c>
      <c r="F57" s="23" t="s">
        <v>84</v>
      </c>
      <c r="G57" s="23" t="s">
        <v>229</v>
      </c>
      <c r="H57" s="23" t="s">
        <v>251</v>
      </c>
      <c r="I57" s="23" t="s">
        <v>1</v>
      </c>
      <c r="J57" s="25">
        <v>43986</v>
      </c>
      <c r="K57" s="26">
        <v>44104</v>
      </c>
      <c r="L57" s="26"/>
      <c r="M57" s="5">
        <v>44</v>
      </c>
      <c r="N57" s="27">
        <v>1</v>
      </c>
      <c r="O57" s="28">
        <v>450</v>
      </c>
      <c r="P57" s="29">
        <f>ROUND(M57*O57,2)</f>
        <v>19800</v>
      </c>
      <c r="Q57" s="18">
        <v>0</v>
      </c>
      <c r="R57" s="10">
        <v>0</v>
      </c>
    </row>
    <row r="58" spans="1:18" s="8" customFormat="1" ht="100" customHeight="1" x14ac:dyDescent="0.3">
      <c r="A58" s="14">
        <v>2020</v>
      </c>
      <c r="B58" s="23" t="s">
        <v>225</v>
      </c>
      <c r="C58" s="23" t="s">
        <v>227</v>
      </c>
      <c r="D58" s="23" t="s">
        <v>226</v>
      </c>
      <c r="E58" s="24" t="s">
        <v>67</v>
      </c>
      <c r="F58" s="23" t="s">
        <v>128</v>
      </c>
      <c r="G58" s="23" t="s">
        <v>229</v>
      </c>
      <c r="H58" s="23" t="s">
        <v>251</v>
      </c>
      <c r="I58" s="23" t="s">
        <v>11</v>
      </c>
      <c r="J58" s="25">
        <v>44000</v>
      </c>
      <c r="K58" s="26">
        <v>44286</v>
      </c>
      <c r="L58" s="26"/>
      <c r="M58" s="31">
        <f>+ROUND((8/20)+9,4)</f>
        <v>9.4</v>
      </c>
      <c r="N58" s="27">
        <v>0</v>
      </c>
      <c r="O58" s="28">
        <v>2000</v>
      </c>
      <c r="P58" s="29">
        <f>ROUND(M58*O58,2)</f>
        <v>18800</v>
      </c>
      <c r="Q58" s="18">
        <v>0</v>
      </c>
      <c r="R58" s="10">
        <v>0</v>
      </c>
    </row>
    <row r="59" spans="1:18" s="8" customFormat="1" ht="100" customHeight="1" x14ac:dyDescent="0.3">
      <c r="A59" s="14">
        <v>2020</v>
      </c>
      <c r="B59" s="23" t="s">
        <v>225</v>
      </c>
      <c r="C59" s="23" t="s">
        <v>227</v>
      </c>
      <c r="D59" s="23" t="s">
        <v>226</v>
      </c>
      <c r="E59" s="24" t="s">
        <v>68</v>
      </c>
      <c r="F59" s="23"/>
      <c r="G59" s="23" t="s">
        <v>229</v>
      </c>
      <c r="H59" s="23" t="s">
        <v>251</v>
      </c>
      <c r="I59" s="23" t="s">
        <v>11</v>
      </c>
      <c r="J59" s="25">
        <v>44013</v>
      </c>
      <c r="K59" s="26">
        <v>44270</v>
      </c>
      <c r="L59" s="26"/>
      <c r="M59" s="5">
        <f>+ROUND((10/22)+8,4)</f>
        <v>8.4544999999999995</v>
      </c>
      <c r="N59" s="27">
        <v>0</v>
      </c>
      <c r="O59" s="28">
        <v>3500</v>
      </c>
      <c r="P59" s="29">
        <f>ROUND(M59*O59,2)</f>
        <v>29590.75</v>
      </c>
      <c r="Q59" s="18">
        <v>0</v>
      </c>
      <c r="R59" s="10">
        <v>0</v>
      </c>
    </row>
    <row r="60" spans="1:18" s="8" customFormat="1" ht="100" customHeight="1" x14ac:dyDescent="0.3">
      <c r="A60" s="14">
        <v>2020</v>
      </c>
      <c r="B60" s="23" t="s">
        <v>225</v>
      </c>
      <c r="C60" s="23" t="s">
        <v>227</v>
      </c>
      <c r="D60" s="23" t="s">
        <v>226</v>
      </c>
      <c r="E60" s="24" t="s">
        <v>75</v>
      </c>
      <c r="F60" s="23" t="s">
        <v>115</v>
      </c>
      <c r="G60" s="23" t="s">
        <v>229</v>
      </c>
      <c r="H60" s="23" t="s">
        <v>251</v>
      </c>
      <c r="I60" s="23" t="s">
        <v>11</v>
      </c>
      <c r="J60" s="25">
        <v>44013</v>
      </c>
      <c r="K60" s="26">
        <v>44196</v>
      </c>
      <c r="L60" s="26"/>
      <c r="M60" s="5">
        <v>6</v>
      </c>
      <c r="N60" s="27">
        <v>0</v>
      </c>
      <c r="O60" s="28">
        <v>5000</v>
      </c>
      <c r="P60" s="29">
        <f>ROUND(M60*O60,2)</f>
        <v>30000</v>
      </c>
      <c r="Q60" s="18">
        <v>0</v>
      </c>
      <c r="R60" s="10">
        <v>0</v>
      </c>
    </row>
    <row r="61" spans="1:18" s="8" customFormat="1" ht="100" customHeight="1" x14ac:dyDescent="0.3">
      <c r="A61" s="14">
        <v>2020</v>
      </c>
      <c r="B61" s="23" t="s">
        <v>225</v>
      </c>
      <c r="C61" s="23" t="s">
        <v>227</v>
      </c>
      <c r="D61" s="23" t="s">
        <v>226</v>
      </c>
      <c r="E61" s="24" t="s">
        <v>85</v>
      </c>
      <c r="F61" s="23"/>
      <c r="G61" s="23" t="s">
        <v>229</v>
      </c>
      <c r="H61" s="23" t="s">
        <v>251</v>
      </c>
      <c r="I61" s="23" t="s">
        <v>11</v>
      </c>
      <c r="J61" s="25">
        <v>44032</v>
      </c>
      <c r="K61" s="26">
        <v>44215</v>
      </c>
      <c r="L61" s="26"/>
      <c r="M61" s="5">
        <f>+ROUND(10/23,4)+5+ROUND(11/19,4)</f>
        <v>6.0137</v>
      </c>
      <c r="N61" s="27">
        <v>0</v>
      </c>
      <c r="O61" s="28">
        <v>5000</v>
      </c>
      <c r="P61" s="29">
        <f>ROUND(M61*O61,2)</f>
        <v>30068.5</v>
      </c>
      <c r="Q61" s="18">
        <v>0</v>
      </c>
      <c r="R61" s="10">
        <v>0</v>
      </c>
    </row>
    <row r="62" spans="1:18" s="8" customFormat="1" ht="100" customHeight="1" x14ac:dyDescent="0.3">
      <c r="A62" s="14">
        <v>2020</v>
      </c>
      <c r="B62" s="23" t="s">
        <v>225</v>
      </c>
      <c r="C62" s="23" t="s">
        <v>227</v>
      </c>
      <c r="D62" s="23" t="s">
        <v>226</v>
      </c>
      <c r="E62" s="24" t="s">
        <v>64</v>
      </c>
      <c r="F62" s="23" t="s">
        <v>173</v>
      </c>
      <c r="G62" s="23" t="s">
        <v>229</v>
      </c>
      <c r="H62" s="23" t="s">
        <v>251</v>
      </c>
      <c r="I62" s="23" t="s">
        <v>11</v>
      </c>
      <c r="J62" s="25">
        <v>44013</v>
      </c>
      <c r="K62" s="26">
        <v>44196</v>
      </c>
      <c r="L62" s="26">
        <v>44316</v>
      </c>
      <c r="M62" s="5">
        <v>10</v>
      </c>
      <c r="N62" s="27">
        <v>0</v>
      </c>
      <c r="O62" s="28">
        <v>3000</v>
      </c>
      <c r="P62" s="29">
        <f>ROUND(M62*O62,2)</f>
        <v>30000</v>
      </c>
      <c r="Q62" s="18">
        <v>0</v>
      </c>
      <c r="R62" s="10">
        <v>0</v>
      </c>
    </row>
    <row r="63" spans="1:18" s="8" customFormat="1" ht="100" customHeight="1" x14ac:dyDescent="0.3">
      <c r="A63" s="14">
        <v>2020</v>
      </c>
      <c r="B63" s="23" t="s">
        <v>225</v>
      </c>
      <c r="C63" s="23" t="s">
        <v>227</v>
      </c>
      <c r="D63" s="23" t="s">
        <v>226</v>
      </c>
      <c r="E63" s="24" t="s">
        <v>101</v>
      </c>
      <c r="F63" s="23"/>
      <c r="G63" s="23" t="s">
        <v>229</v>
      </c>
      <c r="H63" s="23" t="s">
        <v>251</v>
      </c>
      <c r="I63" s="23" t="s">
        <v>11</v>
      </c>
      <c r="J63" s="25">
        <v>44070</v>
      </c>
      <c r="K63" s="26">
        <v>44286</v>
      </c>
      <c r="L63" s="26"/>
      <c r="M63" s="5">
        <f>+ROUND((3/20)+7,2)</f>
        <v>7.15</v>
      </c>
      <c r="N63" s="27">
        <v>0</v>
      </c>
      <c r="O63" s="28">
        <v>4000</v>
      </c>
      <c r="P63" s="29">
        <f>ROUND(M63*O63,2)</f>
        <v>28600</v>
      </c>
      <c r="Q63" s="18">
        <v>0</v>
      </c>
      <c r="R63" s="10">
        <v>0</v>
      </c>
    </row>
    <row r="64" spans="1:18" s="8" customFormat="1" ht="100" customHeight="1" x14ac:dyDescent="0.3">
      <c r="A64" s="14">
        <v>2020</v>
      </c>
      <c r="B64" s="23" t="s">
        <v>225</v>
      </c>
      <c r="C64" s="23" t="s">
        <v>227</v>
      </c>
      <c r="D64" s="23" t="s">
        <v>226</v>
      </c>
      <c r="E64" s="24" t="s">
        <v>100</v>
      </c>
      <c r="F64" s="23"/>
      <c r="G64" s="23" t="s">
        <v>229</v>
      </c>
      <c r="H64" s="23" t="s">
        <v>251</v>
      </c>
      <c r="I64" s="23" t="s">
        <v>11</v>
      </c>
      <c r="J64" s="25">
        <v>44070</v>
      </c>
      <c r="K64" s="26">
        <v>44286</v>
      </c>
      <c r="L64" s="26"/>
      <c r="M64" s="5">
        <f>+ROUND((3/20)+7,2)</f>
        <v>7.15</v>
      </c>
      <c r="N64" s="27">
        <v>0</v>
      </c>
      <c r="O64" s="28">
        <v>4000</v>
      </c>
      <c r="P64" s="29">
        <f>ROUND(M64*O64,2)</f>
        <v>28600</v>
      </c>
      <c r="Q64" s="18">
        <v>0</v>
      </c>
      <c r="R64" s="10">
        <v>0</v>
      </c>
    </row>
    <row r="65" spans="1:18" s="8" customFormat="1" ht="100" customHeight="1" x14ac:dyDescent="0.3">
      <c r="A65" s="14">
        <v>2020</v>
      </c>
      <c r="B65" s="23" t="s">
        <v>225</v>
      </c>
      <c r="C65" s="23" t="s">
        <v>227</v>
      </c>
      <c r="D65" s="23" t="s">
        <v>226</v>
      </c>
      <c r="E65" s="24" t="s">
        <v>89</v>
      </c>
      <c r="F65" s="23"/>
      <c r="G65" s="23" t="s">
        <v>229</v>
      </c>
      <c r="H65" s="23" t="s">
        <v>251</v>
      </c>
      <c r="I65" s="23" t="s">
        <v>11</v>
      </c>
      <c r="J65" s="25">
        <v>44050</v>
      </c>
      <c r="K65" s="26">
        <v>44286</v>
      </c>
      <c r="L65" s="26"/>
      <c r="M65" s="5">
        <f>+ROUND((16/20)+7,4)</f>
        <v>7.8</v>
      </c>
      <c r="N65" s="27">
        <v>0</v>
      </c>
      <c r="O65" s="28">
        <v>4000</v>
      </c>
      <c r="P65" s="29">
        <f>ROUND(M65*O65,2)</f>
        <v>31200</v>
      </c>
      <c r="Q65" s="18">
        <v>0</v>
      </c>
      <c r="R65" s="10">
        <v>0</v>
      </c>
    </row>
    <row r="66" spans="1:18" s="8" customFormat="1" ht="100" customHeight="1" x14ac:dyDescent="0.3">
      <c r="A66" s="14">
        <v>2020</v>
      </c>
      <c r="B66" s="23" t="s">
        <v>225</v>
      </c>
      <c r="C66" s="23" t="s">
        <v>227</v>
      </c>
      <c r="D66" s="23" t="s">
        <v>226</v>
      </c>
      <c r="E66" s="24" t="s">
        <v>88</v>
      </c>
      <c r="F66" s="23"/>
      <c r="G66" s="23" t="s">
        <v>229</v>
      </c>
      <c r="H66" s="23" t="s">
        <v>251</v>
      </c>
      <c r="I66" s="23" t="s">
        <v>11</v>
      </c>
      <c r="J66" s="25">
        <v>44055</v>
      </c>
      <c r="K66" s="26">
        <v>44286</v>
      </c>
      <c r="L66" s="26"/>
      <c r="M66" s="5">
        <f>+ROUND((13/20)+7,4)</f>
        <v>7.65</v>
      </c>
      <c r="N66" s="27">
        <v>0</v>
      </c>
      <c r="O66" s="28">
        <v>3000</v>
      </c>
      <c r="P66" s="29">
        <f>ROUND(M66*O66,2)</f>
        <v>22950</v>
      </c>
      <c r="Q66" s="18">
        <v>0</v>
      </c>
      <c r="R66" s="10">
        <v>0</v>
      </c>
    </row>
    <row r="67" spans="1:18" s="8" customFormat="1" ht="100" customHeight="1" x14ac:dyDescent="0.3">
      <c r="A67" s="14">
        <v>2020</v>
      </c>
      <c r="B67" s="23" t="s">
        <v>225</v>
      </c>
      <c r="C67" s="23" t="s">
        <v>227</v>
      </c>
      <c r="D67" s="23" t="s">
        <v>226</v>
      </c>
      <c r="E67" s="24" t="s">
        <v>114</v>
      </c>
      <c r="F67" s="23"/>
      <c r="G67" s="23" t="s">
        <v>229</v>
      </c>
      <c r="H67" s="23" t="s">
        <v>251</v>
      </c>
      <c r="I67" s="23" t="s">
        <v>11</v>
      </c>
      <c r="J67" s="25">
        <v>44075</v>
      </c>
      <c r="K67" s="26">
        <v>44286</v>
      </c>
      <c r="L67" s="26"/>
      <c r="M67" s="28">
        <v>7</v>
      </c>
      <c r="N67" s="27">
        <v>0</v>
      </c>
      <c r="O67" s="28">
        <v>2500</v>
      </c>
      <c r="P67" s="29">
        <f>ROUND(M67*O67,2)</f>
        <v>17500</v>
      </c>
      <c r="Q67" s="18">
        <v>0</v>
      </c>
      <c r="R67" s="10">
        <v>0</v>
      </c>
    </row>
    <row r="68" spans="1:18" s="8" customFormat="1" ht="100" customHeight="1" x14ac:dyDescent="0.3">
      <c r="A68" s="14">
        <v>2020</v>
      </c>
      <c r="B68" s="23" t="s">
        <v>225</v>
      </c>
      <c r="C68" s="23" t="s">
        <v>227</v>
      </c>
      <c r="D68" s="23" t="s">
        <v>226</v>
      </c>
      <c r="E68" s="24" t="s">
        <v>94</v>
      </c>
      <c r="F68" s="23"/>
      <c r="G68" s="23" t="s">
        <v>229</v>
      </c>
      <c r="H68" s="23" t="s">
        <v>251</v>
      </c>
      <c r="I68" s="23" t="s">
        <v>11</v>
      </c>
      <c r="J68" s="25">
        <v>44055</v>
      </c>
      <c r="K68" s="26">
        <v>44286</v>
      </c>
      <c r="L68" s="26"/>
      <c r="M68" s="5">
        <f>+ROUND((13/20)+7,4)</f>
        <v>7.65</v>
      </c>
      <c r="N68" s="27">
        <v>0</v>
      </c>
      <c r="O68" s="28">
        <v>3000</v>
      </c>
      <c r="P68" s="29">
        <f>ROUND(M68*O68,2)</f>
        <v>22950</v>
      </c>
      <c r="Q68" s="18">
        <v>0</v>
      </c>
      <c r="R68" s="10">
        <v>0</v>
      </c>
    </row>
    <row r="69" spans="1:18" s="8" customFormat="1" ht="100" customHeight="1" x14ac:dyDescent="0.3">
      <c r="A69" s="14">
        <v>2020</v>
      </c>
      <c r="B69" s="23" t="s">
        <v>225</v>
      </c>
      <c r="C69" s="23" t="s">
        <v>227</v>
      </c>
      <c r="D69" s="23" t="s">
        <v>226</v>
      </c>
      <c r="E69" s="24" t="s">
        <v>96</v>
      </c>
      <c r="F69" s="23"/>
      <c r="G69" s="23" t="s">
        <v>229</v>
      </c>
      <c r="H69" s="23" t="s">
        <v>251</v>
      </c>
      <c r="I69" s="23" t="s">
        <v>1</v>
      </c>
      <c r="J69" s="25">
        <v>44074</v>
      </c>
      <c r="K69" s="26">
        <v>44469</v>
      </c>
      <c r="L69" s="26"/>
      <c r="M69" s="5">
        <v>40</v>
      </c>
      <c r="N69" s="27">
        <v>1</v>
      </c>
      <c r="O69" s="28">
        <v>450</v>
      </c>
      <c r="P69" s="29">
        <f>ROUND(M69*O69,2)</f>
        <v>18000</v>
      </c>
      <c r="Q69" s="18">
        <v>0</v>
      </c>
      <c r="R69" s="10">
        <v>0</v>
      </c>
    </row>
    <row r="70" spans="1:18" s="8" customFormat="1" ht="100" customHeight="1" x14ac:dyDescent="0.3">
      <c r="A70" s="14">
        <v>2020</v>
      </c>
      <c r="B70" s="23" t="s">
        <v>225</v>
      </c>
      <c r="C70" s="23" t="s">
        <v>227</v>
      </c>
      <c r="D70" s="23" t="s">
        <v>226</v>
      </c>
      <c r="E70" s="24" t="s">
        <v>99</v>
      </c>
      <c r="F70" s="23"/>
      <c r="G70" s="23" t="s">
        <v>229</v>
      </c>
      <c r="H70" s="23" t="s">
        <v>251</v>
      </c>
      <c r="I70" s="23" t="s">
        <v>11</v>
      </c>
      <c r="J70" s="25">
        <v>44075</v>
      </c>
      <c r="K70" s="26">
        <v>44286</v>
      </c>
      <c r="L70" s="26"/>
      <c r="M70" s="5">
        <v>7</v>
      </c>
      <c r="N70" s="27">
        <v>0</v>
      </c>
      <c r="O70" s="28">
        <v>4000</v>
      </c>
      <c r="P70" s="29">
        <f>ROUND(M70*O70,2)</f>
        <v>28000</v>
      </c>
      <c r="Q70" s="18">
        <v>0</v>
      </c>
      <c r="R70" s="10">
        <v>0</v>
      </c>
    </row>
    <row r="71" spans="1:18" s="8" customFormat="1" ht="100" customHeight="1" x14ac:dyDescent="0.3">
      <c r="A71" s="14">
        <v>2020</v>
      </c>
      <c r="B71" s="23" t="s">
        <v>225</v>
      </c>
      <c r="C71" s="23" t="s">
        <v>227</v>
      </c>
      <c r="D71" s="23" t="s">
        <v>226</v>
      </c>
      <c r="E71" s="24" t="s">
        <v>107</v>
      </c>
      <c r="F71" s="23"/>
      <c r="G71" s="23" t="s">
        <v>229</v>
      </c>
      <c r="H71" s="23" t="s">
        <v>251</v>
      </c>
      <c r="I71" s="23" t="s">
        <v>11</v>
      </c>
      <c r="J71" s="25">
        <v>44095</v>
      </c>
      <c r="K71" s="26">
        <v>44286</v>
      </c>
      <c r="L71" s="26"/>
      <c r="M71" s="5">
        <f>+ROUND((8/22)+6,4)</f>
        <v>6.3635999999999999</v>
      </c>
      <c r="N71" s="27">
        <v>0</v>
      </c>
      <c r="O71" s="28">
        <v>5000</v>
      </c>
      <c r="P71" s="29">
        <f>ROUND(M71*O71,2)</f>
        <v>31818</v>
      </c>
      <c r="Q71" s="18">
        <v>0</v>
      </c>
      <c r="R71" s="10">
        <v>0</v>
      </c>
    </row>
    <row r="72" spans="1:18" s="8" customFormat="1" ht="100" customHeight="1" x14ac:dyDescent="0.3">
      <c r="A72" s="14">
        <v>2020</v>
      </c>
      <c r="B72" s="23" t="s">
        <v>225</v>
      </c>
      <c r="C72" s="23" t="s">
        <v>227</v>
      </c>
      <c r="D72" s="23" t="s">
        <v>226</v>
      </c>
      <c r="E72" s="24" t="s">
        <v>108</v>
      </c>
      <c r="F72" s="23"/>
      <c r="G72" s="23" t="s">
        <v>229</v>
      </c>
      <c r="H72" s="23" t="s">
        <v>251</v>
      </c>
      <c r="I72" s="23" t="s">
        <v>11</v>
      </c>
      <c r="J72" s="25">
        <v>44095</v>
      </c>
      <c r="K72" s="26">
        <v>44286</v>
      </c>
      <c r="L72" s="26"/>
      <c r="M72" s="5">
        <f>+ROUND((8/22)+6,4)</f>
        <v>6.3635999999999999</v>
      </c>
      <c r="N72" s="27">
        <v>0</v>
      </c>
      <c r="O72" s="28">
        <v>2500</v>
      </c>
      <c r="P72" s="29">
        <f>ROUND(M72*O72,2)</f>
        <v>15909</v>
      </c>
      <c r="Q72" s="18">
        <v>0</v>
      </c>
      <c r="R72" s="10">
        <v>0</v>
      </c>
    </row>
    <row r="73" spans="1:18" s="8" customFormat="1" ht="100" customHeight="1" x14ac:dyDescent="0.3">
      <c r="A73" s="14">
        <v>2020</v>
      </c>
      <c r="B73" s="23" t="s">
        <v>225</v>
      </c>
      <c r="C73" s="23" t="s">
        <v>227</v>
      </c>
      <c r="D73" s="23" t="s">
        <v>226</v>
      </c>
      <c r="E73" s="24" t="s">
        <v>105</v>
      </c>
      <c r="F73" s="23"/>
      <c r="G73" s="23" t="s">
        <v>229</v>
      </c>
      <c r="H73" s="23" t="s">
        <v>251</v>
      </c>
      <c r="I73" s="23" t="s">
        <v>11</v>
      </c>
      <c r="J73" s="25">
        <v>44091</v>
      </c>
      <c r="K73" s="26">
        <v>44286</v>
      </c>
      <c r="L73" s="26"/>
      <c r="M73" s="5">
        <f>+ROUND((10/22)+6,4)</f>
        <v>6.4545000000000003</v>
      </c>
      <c r="N73" s="27">
        <v>0</v>
      </c>
      <c r="O73" s="28">
        <v>5000</v>
      </c>
      <c r="P73" s="29">
        <f>ROUND(M73*O73,2)</f>
        <v>32272.5</v>
      </c>
      <c r="Q73" s="18">
        <v>0</v>
      </c>
      <c r="R73" s="10">
        <v>0</v>
      </c>
    </row>
    <row r="74" spans="1:18" s="8" customFormat="1" ht="100" customHeight="1" x14ac:dyDescent="0.3">
      <c r="A74" s="14">
        <v>2020</v>
      </c>
      <c r="B74" s="23" t="s">
        <v>225</v>
      </c>
      <c r="C74" s="23" t="s">
        <v>227</v>
      </c>
      <c r="D74" s="23" t="s">
        <v>226</v>
      </c>
      <c r="E74" s="24" t="s">
        <v>106</v>
      </c>
      <c r="F74" s="23"/>
      <c r="G74" s="23" t="s">
        <v>229</v>
      </c>
      <c r="H74" s="23" t="s">
        <v>251</v>
      </c>
      <c r="I74" s="23" t="s">
        <v>11</v>
      </c>
      <c r="J74" s="25">
        <v>44091</v>
      </c>
      <c r="K74" s="26">
        <v>44286</v>
      </c>
      <c r="L74" s="26"/>
      <c r="M74" s="5">
        <f>+ROUND((10/22)+6,4)</f>
        <v>6.4545000000000003</v>
      </c>
      <c r="N74" s="27">
        <v>0</v>
      </c>
      <c r="O74" s="28">
        <v>5000</v>
      </c>
      <c r="P74" s="29">
        <f>ROUND(M74*O74,2)</f>
        <v>32272.5</v>
      </c>
      <c r="Q74" s="18">
        <v>0</v>
      </c>
      <c r="R74" s="10">
        <v>0</v>
      </c>
    </row>
    <row r="75" spans="1:18" s="8" customFormat="1" ht="100" customHeight="1" x14ac:dyDescent="0.3">
      <c r="A75" s="14">
        <v>2020</v>
      </c>
      <c r="B75" s="23" t="s">
        <v>225</v>
      </c>
      <c r="C75" s="23" t="s">
        <v>227</v>
      </c>
      <c r="D75" s="23" t="s">
        <v>226</v>
      </c>
      <c r="E75" s="24" t="s">
        <v>111</v>
      </c>
      <c r="F75" s="25">
        <v>44250</v>
      </c>
      <c r="G75" s="23" t="s">
        <v>229</v>
      </c>
      <c r="H75" s="23" t="s">
        <v>251</v>
      </c>
      <c r="I75" s="23" t="s">
        <v>11</v>
      </c>
      <c r="J75" s="25">
        <v>44105</v>
      </c>
      <c r="K75" s="26">
        <v>44286</v>
      </c>
      <c r="L75" s="26"/>
      <c r="M75" s="5">
        <v>6</v>
      </c>
      <c r="N75" s="27">
        <v>0</v>
      </c>
      <c r="O75" s="28">
        <v>5000</v>
      </c>
      <c r="P75" s="29">
        <f>ROUND(M75*O75,2)</f>
        <v>30000</v>
      </c>
      <c r="Q75" s="18">
        <v>0</v>
      </c>
      <c r="R75" s="10">
        <v>0</v>
      </c>
    </row>
    <row r="76" spans="1:18" s="8" customFormat="1" ht="100" customHeight="1" x14ac:dyDescent="0.3">
      <c r="A76" s="14">
        <v>2020</v>
      </c>
      <c r="B76" s="23" t="s">
        <v>225</v>
      </c>
      <c r="C76" s="23" t="s">
        <v>227</v>
      </c>
      <c r="D76" s="23" t="s">
        <v>226</v>
      </c>
      <c r="E76" s="24" t="s">
        <v>119</v>
      </c>
      <c r="F76" s="23"/>
      <c r="G76" s="23" t="s">
        <v>229</v>
      </c>
      <c r="H76" s="23" t="s">
        <v>251</v>
      </c>
      <c r="I76" s="23" t="s">
        <v>11</v>
      </c>
      <c r="J76" s="25">
        <v>44105</v>
      </c>
      <c r="K76" s="26">
        <v>44286</v>
      </c>
      <c r="L76" s="26"/>
      <c r="M76" s="5">
        <v>6</v>
      </c>
      <c r="N76" s="27">
        <v>0</v>
      </c>
      <c r="O76" s="28">
        <v>5000</v>
      </c>
      <c r="P76" s="29">
        <f>ROUND(M76*O76,2)</f>
        <v>30000</v>
      </c>
      <c r="Q76" s="18">
        <v>0</v>
      </c>
      <c r="R76" s="10">
        <v>0</v>
      </c>
    </row>
    <row r="77" spans="1:18" s="8" customFormat="1" ht="100" customHeight="1" x14ac:dyDescent="0.3">
      <c r="A77" s="14">
        <v>2020</v>
      </c>
      <c r="B77" s="23" t="s">
        <v>225</v>
      </c>
      <c r="C77" s="23" t="s">
        <v>227</v>
      </c>
      <c r="D77" s="23" t="s">
        <v>226</v>
      </c>
      <c r="E77" s="24" t="s">
        <v>109</v>
      </c>
      <c r="F77" s="23"/>
      <c r="G77" s="23" t="s">
        <v>229</v>
      </c>
      <c r="H77" s="23" t="s">
        <v>251</v>
      </c>
      <c r="I77" s="23" t="s">
        <v>11</v>
      </c>
      <c r="J77" s="25">
        <v>44097</v>
      </c>
      <c r="K77" s="26">
        <v>44286</v>
      </c>
      <c r="L77" s="26"/>
      <c r="M77" s="5">
        <f>+ROUND((6/22)+6,4)</f>
        <v>6.2727000000000004</v>
      </c>
      <c r="N77" s="27">
        <v>0</v>
      </c>
      <c r="O77" s="28">
        <v>3000</v>
      </c>
      <c r="P77" s="29">
        <f>ROUND(M77*O77,2)</f>
        <v>18818.099999999999</v>
      </c>
      <c r="Q77" s="18">
        <v>0</v>
      </c>
      <c r="R77" s="10">
        <v>0</v>
      </c>
    </row>
    <row r="78" spans="1:18" s="8" customFormat="1" ht="100" customHeight="1" x14ac:dyDescent="0.3">
      <c r="A78" s="14">
        <v>2020</v>
      </c>
      <c r="B78" s="23" t="s">
        <v>225</v>
      </c>
      <c r="C78" s="23" t="s">
        <v>227</v>
      </c>
      <c r="D78" s="23" t="s">
        <v>226</v>
      </c>
      <c r="E78" s="24" t="s">
        <v>112</v>
      </c>
      <c r="F78" s="23"/>
      <c r="G78" s="23" t="s">
        <v>229</v>
      </c>
      <c r="H78" s="23" t="s">
        <v>251</v>
      </c>
      <c r="I78" s="23" t="s">
        <v>11</v>
      </c>
      <c r="J78" s="25">
        <v>44104</v>
      </c>
      <c r="K78" s="26">
        <v>44286</v>
      </c>
      <c r="L78" s="26"/>
      <c r="M78" s="5">
        <f>+ROUND((1/22)+6,4)</f>
        <v>6.0454999999999997</v>
      </c>
      <c r="N78" s="27">
        <v>0</v>
      </c>
      <c r="O78" s="28">
        <v>3000</v>
      </c>
      <c r="P78" s="29">
        <f>ROUND(M78*O78,2)</f>
        <v>18136.5</v>
      </c>
      <c r="Q78" s="18">
        <v>0</v>
      </c>
      <c r="R78" s="10">
        <v>0</v>
      </c>
    </row>
    <row r="79" spans="1:18" s="8" customFormat="1" ht="100" customHeight="1" x14ac:dyDescent="0.3">
      <c r="A79" s="14">
        <v>2020</v>
      </c>
      <c r="B79" s="23" t="s">
        <v>225</v>
      </c>
      <c r="C79" s="23" t="s">
        <v>227</v>
      </c>
      <c r="D79" s="23" t="s">
        <v>226</v>
      </c>
      <c r="E79" s="24" t="s">
        <v>102</v>
      </c>
      <c r="F79" s="23"/>
      <c r="G79" s="23" t="s">
        <v>229</v>
      </c>
      <c r="H79" s="23" t="s">
        <v>251</v>
      </c>
      <c r="I79" s="23" t="s">
        <v>11</v>
      </c>
      <c r="J79" s="25">
        <v>44085</v>
      </c>
      <c r="K79" s="26">
        <v>44286</v>
      </c>
      <c r="L79" s="26"/>
      <c r="M79" s="5">
        <f>+ROUND((14/22)+6,4)</f>
        <v>6.6364000000000001</v>
      </c>
      <c r="N79" s="27">
        <v>0</v>
      </c>
      <c r="O79" s="28">
        <v>2500</v>
      </c>
      <c r="P79" s="29">
        <f>ROUND(M79*O79,2)</f>
        <v>16591</v>
      </c>
      <c r="Q79" s="18">
        <v>0</v>
      </c>
      <c r="R79" s="10">
        <v>0</v>
      </c>
    </row>
    <row r="80" spans="1:18" s="8" customFormat="1" ht="100" customHeight="1" x14ac:dyDescent="0.3">
      <c r="A80" s="14">
        <v>2020</v>
      </c>
      <c r="B80" s="23" t="s">
        <v>225</v>
      </c>
      <c r="C80" s="23" t="s">
        <v>227</v>
      </c>
      <c r="D80" s="23" t="s">
        <v>226</v>
      </c>
      <c r="E80" s="24" t="s">
        <v>113</v>
      </c>
      <c r="F80" s="23"/>
      <c r="G80" s="23" t="s">
        <v>229</v>
      </c>
      <c r="H80" s="23" t="s">
        <v>251</v>
      </c>
      <c r="I80" s="23" t="s">
        <v>11</v>
      </c>
      <c r="J80" s="25">
        <v>44109</v>
      </c>
      <c r="K80" s="26">
        <v>44286</v>
      </c>
      <c r="L80" s="26"/>
      <c r="M80" s="5">
        <f>+ROUND((19/21)+5,4)</f>
        <v>5.9047999999999998</v>
      </c>
      <c r="N80" s="27">
        <v>0</v>
      </c>
      <c r="O80" s="28">
        <v>3000</v>
      </c>
      <c r="P80" s="29">
        <f>ROUND(M80*O80,2)</f>
        <v>17714.400000000001</v>
      </c>
      <c r="Q80" s="18">
        <v>0</v>
      </c>
      <c r="R80" s="10">
        <v>0</v>
      </c>
    </row>
    <row r="81" spans="1:18" s="8" customFormat="1" ht="100" customHeight="1" x14ac:dyDescent="0.3">
      <c r="A81" s="14">
        <v>2020</v>
      </c>
      <c r="B81" s="23" t="s">
        <v>225</v>
      </c>
      <c r="C81" s="23" t="s">
        <v>227</v>
      </c>
      <c r="D81" s="23" t="s">
        <v>226</v>
      </c>
      <c r="E81" s="24" t="s">
        <v>116</v>
      </c>
      <c r="F81" s="23"/>
      <c r="G81" s="23" t="s">
        <v>229</v>
      </c>
      <c r="H81" s="23" t="s">
        <v>251</v>
      </c>
      <c r="I81" s="23" t="s">
        <v>11</v>
      </c>
      <c r="J81" s="25">
        <v>44119</v>
      </c>
      <c r="K81" s="26">
        <v>44483</v>
      </c>
      <c r="L81" s="26"/>
      <c r="M81" s="5">
        <f>+ROUND((12/21)+11+(9/20),4)</f>
        <v>12.0214</v>
      </c>
      <c r="N81" s="27">
        <v>0</v>
      </c>
      <c r="O81" s="28">
        <v>3000</v>
      </c>
      <c r="P81" s="29">
        <f>ROUND(M81*O81,2)</f>
        <v>36064.199999999997</v>
      </c>
      <c r="Q81" s="18">
        <v>0</v>
      </c>
      <c r="R81" s="10">
        <v>0</v>
      </c>
    </row>
    <row r="82" spans="1:18" s="9" customFormat="1" ht="100" customHeight="1" x14ac:dyDescent="0.3">
      <c r="A82" s="14">
        <v>2021</v>
      </c>
      <c r="B82" s="23" t="s">
        <v>225</v>
      </c>
      <c r="C82" s="23" t="s">
        <v>227</v>
      </c>
      <c r="D82" s="23" t="s">
        <v>226</v>
      </c>
      <c r="E82" s="32" t="s">
        <v>148</v>
      </c>
      <c r="F82" s="23"/>
      <c r="G82" s="23" t="s">
        <v>229</v>
      </c>
      <c r="H82" s="23" t="s">
        <v>251</v>
      </c>
      <c r="I82" s="23" t="s">
        <v>1</v>
      </c>
      <c r="J82" s="25">
        <v>44277</v>
      </c>
      <c r="K82" s="26">
        <v>44561</v>
      </c>
      <c r="L82" s="26"/>
      <c r="M82" s="5">
        <v>38</v>
      </c>
      <c r="N82" s="27">
        <v>0</v>
      </c>
      <c r="O82" s="28">
        <v>450</v>
      </c>
      <c r="P82" s="29">
        <f>ROUND(M82*O82,2)</f>
        <v>17100</v>
      </c>
      <c r="Q82" s="18">
        <v>0</v>
      </c>
      <c r="R82" s="10">
        <v>0</v>
      </c>
    </row>
    <row r="83" spans="1:18" s="8" customFormat="1" ht="100" customHeight="1" x14ac:dyDescent="0.3">
      <c r="A83" s="14">
        <v>2020</v>
      </c>
      <c r="B83" s="23" t="s">
        <v>225</v>
      </c>
      <c r="C83" s="23" t="s">
        <v>227</v>
      </c>
      <c r="D83" s="23" t="s">
        <v>226</v>
      </c>
      <c r="E83" s="24" t="s">
        <v>131</v>
      </c>
      <c r="F83" s="23" t="s">
        <v>141</v>
      </c>
      <c r="G83" s="23" t="s">
        <v>229</v>
      </c>
      <c r="H83" s="23" t="s">
        <v>251</v>
      </c>
      <c r="I83" s="23" t="s">
        <v>1</v>
      </c>
      <c r="J83" s="25">
        <v>44187</v>
      </c>
      <c r="K83" s="26">
        <v>44286</v>
      </c>
      <c r="L83" s="26">
        <v>44895</v>
      </c>
      <c r="M83" s="5">
        <v>44</v>
      </c>
      <c r="N83" s="27">
        <v>1</v>
      </c>
      <c r="O83" s="28">
        <v>450</v>
      </c>
      <c r="P83" s="29">
        <f>ROUND(M83*O83,2)</f>
        <v>19800</v>
      </c>
      <c r="Q83" s="18">
        <v>0</v>
      </c>
      <c r="R83" s="10">
        <v>0</v>
      </c>
    </row>
    <row r="84" spans="1:18" ht="100" customHeight="1" x14ac:dyDescent="0.3">
      <c r="A84" s="14">
        <v>2020</v>
      </c>
      <c r="B84" s="23" t="str">
        <f>B153</f>
        <v>To purchase necessary services to ensure EU4PFM communication and visibility (preparation of the visibility and communication plan, preparation of press releases and etc.)</v>
      </c>
      <c r="C84" s="23" t="str">
        <f>C153</f>
        <v>Communication and visibility services</v>
      </c>
      <c r="D84" s="23" t="str">
        <f t="shared" ref="D84:R84" si="0">D153</f>
        <v xml:space="preserve">THE PRELIMINARY AGREEMENT ON PREPARATION OF PRINTING AND RELATED DESIGN SERVICES, PRODUCTION AND ITS MARKING WITH VISIBILITY LOGOS RELATED WORKS </v>
      </c>
      <c r="E84" s="23" t="s">
        <v>123</v>
      </c>
      <c r="F84" s="23"/>
      <c r="G84" s="23" t="str">
        <f t="shared" si="0"/>
        <v>Ad Power Creative, LLC</v>
      </c>
      <c r="H84" s="23" t="str">
        <f t="shared" si="0"/>
        <v>str. Luteranska 13, office 22, Kyiv, 01024, Ukraine</v>
      </c>
      <c r="I84" s="23" t="str">
        <f t="shared" si="0"/>
        <v>Service contract</v>
      </c>
      <c r="J84" s="25">
        <v>44029</v>
      </c>
      <c r="K84" s="33">
        <f t="shared" si="0"/>
        <v>0</v>
      </c>
      <c r="L84" s="33">
        <f t="shared" si="0"/>
        <v>0</v>
      </c>
      <c r="M84" s="33">
        <f t="shared" si="0"/>
        <v>0</v>
      </c>
      <c r="N84" s="33">
        <f t="shared" si="0"/>
        <v>0</v>
      </c>
      <c r="O84" s="33">
        <f t="shared" si="0"/>
        <v>0</v>
      </c>
      <c r="P84" s="29">
        <f t="shared" si="0"/>
        <v>19900</v>
      </c>
      <c r="Q84" s="18">
        <f t="shared" si="0"/>
        <v>0</v>
      </c>
      <c r="R84" s="10">
        <f t="shared" si="0"/>
        <v>0</v>
      </c>
    </row>
    <row r="85" spans="1:18" s="8" customFormat="1" ht="100" customHeight="1" x14ac:dyDescent="0.3">
      <c r="A85" s="15">
        <v>2020</v>
      </c>
      <c r="B85" s="30" t="s">
        <v>273</v>
      </c>
      <c r="C85" s="30" t="s">
        <v>293</v>
      </c>
      <c r="D85" s="30" t="s">
        <v>258</v>
      </c>
      <c r="E85" s="30" t="s">
        <v>86</v>
      </c>
      <c r="F85" s="34" t="s">
        <v>312</v>
      </c>
      <c r="G85" s="30" t="s">
        <v>259</v>
      </c>
      <c r="H85" s="30" t="s">
        <v>260</v>
      </c>
      <c r="I85" s="30" t="s">
        <v>1</v>
      </c>
      <c r="J85" s="34">
        <v>43874</v>
      </c>
      <c r="K85" s="26"/>
      <c r="L85" s="26"/>
      <c r="M85" s="5"/>
      <c r="N85" s="27"/>
      <c r="O85" s="28"/>
      <c r="P85" s="29">
        <v>125000</v>
      </c>
      <c r="Q85" s="18"/>
      <c r="R85" s="10"/>
    </row>
    <row r="86" spans="1:18" s="8" customFormat="1" ht="100" customHeight="1" x14ac:dyDescent="0.3">
      <c r="A86" s="15">
        <v>2020</v>
      </c>
      <c r="B86" s="30" t="s">
        <v>274</v>
      </c>
      <c r="C86" s="30" t="s">
        <v>293</v>
      </c>
      <c r="D86" s="30" t="s">
        <v>275</v>
      </c>
      <c r="E86" s="30" t="s">
        <v>82</v>
      </c>
      <c r="F86" s="29" t="s">
        <v>313</v>
      </c>
      <c r="G86" s="30" t="s">
        <v>248</v>
      </c>
      <c r="H86" s="30" t="s">
        <v>249</v>
      </c>
      <c r="I86" s="30" t="s">
        <v>1</v>
      </c>
      <c r="J86" s="25">
        <v>43930</v>
      </c>
      <c r="K86" s="26"/>
      <c r="L86" s="26"/>
      <c r="M86" s="5"/>
      <c r="N86" s="27"/>
      <c r="O86" s="28"/>
      <c r="P86" s="29">
        <v>19900</v>
      </c>
      <c r="Q86" s="18"/>
      <c r="R86" s="10"/>
    </row>
    <row r="87" spans="1:18" s="8" customFormat="1" ht="100" customHeight="1" x14ac:dyDescent="0.3">
      <c r="A87" s="15">
        <v>2020</v>
      </c>
      <c r="B87" s="30" t="s">
        <v>262</v>
      </c>
      <c r="C87" s="30" t="s">
        <v>293</v>
      </c>
      <c r="D87" s="30" t="s">
        <v>261</v>
      </c>
      <c r="E87" s="30" t="s">
        <v>80</v>
      </c>
      <c r="F87" s="29" t="s">
        <v>314</v>
      </c>
      <c r="G87" s="30" t="s">
        <v>263</v>
      </c>
      <c r="H87" s="30" t="s">
        <v>264</v>
      </c>
      <c r="I87" s="30" t="s">
        <v>1</v>
      </c>
      <c r="J87" s="25">
        <v>43969</v>
      </c>
      <c r="K87" s="26"/>
      <c r="L87" s="26"/>
      <c r="M87" s="5"/>
      <c r="N87" s="27"/>
      <c r="O87" s="28"/>
      <c r="P87" s="29">
        <v>21890</v>
      </c>
      <c r="Q87" s="18">
        <v>21890</v>
      </c>
      <c r="R87" s="10">
        <v>21890</v>
      </c>
    </row>
    <row r="88" spans="1:18" s="8" customFormat="1" ht="100" customHeight="1" x14ac:dyDescent="0.3">
      <c r="A88" s="15">
        <v>2020</v>
      </c>
      <c r="B88" s="30" t="s">
        <v>266</v>
      </c>
      <c r="C88" s="30" t="s">
        <v>293</v>
      </c>
      <c r="D88" s="30" t="s">
        <v>265</v>
      </c>
      <c r="E88" s="30" t="s">
        <v>58</v>
      </c>
      <c r="F88" s="29"/>
      <c r="G88" s="30" t="s">
        <v>267</v>
      </c>
      <c r="H88" s="30" t="s">
        <v>268</v>
      </c>
      <c r="I88" s="30" t="s">
        <v>118</v>
      </c>
      <c r="J88" s="25">
        <v>43977</v>
      </c>
      <c r="K88" s="26"/>
      <c r="L88" s="26"/>
      <c r="M88" s="5"/>
      <c r="N88" s="27"/>
      <c r="O88" s="28"/>
      <c r="P88" s="29">
        <v>118500</v>
      </c>
      <c r="Q88" s="18"/>
      <c r="R88" s="10"/>
    </row>
    <row r="89" spans="1:18" s="8" customFormat="1" ht="100" customHeight="1" x14ac:dyDescent="0.3">
      <c r="A89" s="15">
        <v>2020</v>
      </c>
      <c r="B89" s="30" t="s">
        <v>270</v>
      </c>
      <c r="C89" s="30" t="s">
        <v>293</v>
      </c>
      <c r="D89" s="30" t="s">
        <v>269</v>
      </c>
      <c r="E89" s="30" t="s">
        <v>87</v>
      </c>
      <c r="F89" s="29" t="s">
        <v>315</v>
      </c>
      <c r="G89" s="30" t="s">
        <v>271</v>
      </c>
      <c r="H89" s="30" t="s">
        <v>272</v>
      </c>
      <c r="I89" s="30" t="s">
        <v>118</v>
      </c>
      <c r="J89" s="25">
        <v>43994</v>
      </c>
      <c r="K89" s="26"/>
      <c r="L89" s="26"/>
      <c r="M89" s="5"/>
      <c r="N89" s="27"/>
      <c r="O89" s="28"/>
      <c r="P89" s="29">
        <v>170143</v>
      </c>
      <c r="Q89" s="18"/>
      <c r="R89" s="10"/>
    </row>
    <row r="90" spans="1:18" s="8" customFormat="1" ht="100" customHeight="1" x14ac:dyDescent="0.3">
      <c r="A90" s="15">
        <v>2020</v>
      </c>
      <c r="B90" s="30" t="s">
        <v>320</v>
      </c>
      <c r="C90" s="30" t="s">
        <v>293</v>
      </c>
      <c r="D90" s="30" t="s">
        <v>326</v>
      </c>
      <c r="E90" s="30" t="s">
        <v>90</v>
      </c>
      <c r="F90" s="29" t="s">
        <v>319</v>
      </c>
      <c r="G90" s="30" t="s">
        <v>316</v>
      </c>
      <c r="H90" s="30" t="s">
        <v>317</v>
      </c>
      <c r="I90" s="30" t="s">
        <v>302</v>
      </c>
      <c r="J90" s="25">
        <v>44029</v>
      </c>
      <c r="K90" s="26"/>
      <c r="L90" s="26"/>
      <c r="M90" s="5"/>
      <c r="N90" s="27"/>
      <c r="O90" s="28"/>
      <c r="P90" s="29">
        <v>178200</v>
      </c>
      <c r="Q90" s="18">
        <v>178200</v>
      </c>
      <c r="R90" s="10">
        <v>178200</v>
      </c>
    </row>
    <row r="91" spans="1:18" s="8" customFormat="1" ht="100" customHeight="1" x14ac:dyDescent="0.3">
      <c r="A91" s="15">
        <v>2020</v>
      </c>
      <c r="B91" s="30" t="s">
        <v>321</v>
      </c>
      <c r="C91" s="30" t="s">
        <v>293</v>
      </c>
      <c r="D91" s="30" t="s">
        <v>325</v>
      </c>
      <c r="E91" s="30" t="s">
        <v>91</v>
      </c>
      <c r="F91" s="29" t="s">
        <v>318</v>
      </c>
      <c r="G91" s="30" t="s">
        <v>316</v>
      </c>
      <c r="H91" s="30" t="s">
        <v>317</v>
      </c>
      <c r="I91" s="30" t="s">
        <v>302</v>
      </c>
      <c r="J91" s="25">
        <v>44029</v>
      </c>
      <c r="K91" s="26"/>
      <c r="L91" s="26"/>
      <c r="M91" s="5"/>
      <c r="N91" s="27"/>
      <c r="O91" s="28"/>
      <c r="P91" s="29">
        <v>179000</v>
      </c>
      <c r="Q91" s="18">
        <v>179000</v>
      </c>
      <c r="R91" s="10">
        <v>179000</v>
      </c>
    </row>
    <row r="92" spans="1:18" s="8" customFormat="1" ht="100" customHeight="1" x14ac:dyDescent="0.3">
      <c r="A92" s="15">
        <v>2020</v>
      </c>
      <c r="B92" s="30" t="s">
        <v>327</v>
      </c>
      <c r="C92" s="30" t="s">
        <v>293</v>
      </c>
      <c r="D92" s="30" t="s">
        <v>324</v>
      </c>
      <c r="E92" s="30" t="s">
        <v>322</v>
      </c>
      <c r="F92" s="29"/>
      <c r="G92" s="30" t="s">
        <v>323</v>
      </c>
      <c r="H92" s="30" t="s">
        <v>328</v>
      </c>
      <c r="I92" s="30" t="s">
        <v>302</v>
      </c>
      <c r="J92" s="25">
        <v>44116</v>
      </c>
      <c r="K92" s="26"/>
      <c r="L92" s="26"/>
      <c r="M92" s="5"/>
      <c r="N92" s="27"/>
      <c r="O92" s="28"/>
      <c r="P92" s="29">
        <v>66000</v>
      </c>
      <c r="Q92" s="18">
        <v>66000</v>
      </c>
      <c r="R92" s="10">
        <v>66000</v>
      </c>
    </row>
    <row r="93" spans="1:18" s="8" customFormat="1" ht="100" customHeight="1" x14ac:dyDescent="0.3">
      <c r="A93" s="15">
        <v>2020</v>
      </c>
      <c r="B93" s="30" t="s">
        <v>330</v>
      </c>
      <c r="C93" s="30" t="s">
        <v>293</v>
      </c>
      <c r="D93" s="30" t="s">
        <v>329</v>
      </c>
      <c r="E93" s="30" t="s">
        <v>121</v>
      </c>
      <c r="F93" s="29" t="s">
        <v>331</v>
      </c>
      <c r="G93" s="23" t="s">
        <v>97</v>
      </c>
      <c r="H93" s="23" t="s">
        <v>291</v>
      </c>
      <c r="I93" s="30" t="s">
        <v>302</v>
      </c>
      <c r="J93" s="25">
        <v>44121</v>
      </c>
      <c r="K93" s="26"/>
      <c r="L93" s="26"/>
      <c r="M93" s="5"/>
      <c r="N93" s="27"/>
      <c r="O93" s="28"/>
      <c r="P93" s="29">
        <v>213840</v>
      </c>
      <c r="Q93" s="18">
        <v>213840</v>
      </c>
      <c r="R93" s="10">
        <v>213840</v>
      </c>
    </row>
    <row r="94" spans="1:18" s="8" customFormat="1" ht="100" customHeight="1" x14ac:dyDescent="0.3">
      <c r="A94" s="15">
        <v>2020</v>
      </c>
      <c r="B94" s="30" t="s">
        <v>337</v>
      </c>
      <c r="C94" s="30" t="s">
        <v>293</v>
      </c>
      <c r="D94" s="30" t="s">
        <v>332</v>
      </c>
      <c r="E94" s="30" t="s">
        <v>122</v>
      </c>
      <c r="F94" s="29" t="s">
        <v>333</v>
      </c>
      <c r="G94" s="23" t="s">
        <v>97</v>
      </c>
      <c r="H94" s="23" t="s">
        <v>291</v>
      </c>
      <c r="I94" s="30" t="s">
        <v>302</v>
      </c>
      <c r="J94" s="25">
        <v>44121</v>
      </c>
      <c r="K94" s="26"/>
      <c r="L94" s="26"/>
      <c r="M94" s="5"/>
      <c r="N94" s="27"/>
      <c r="O94" s="28"/>
      <c r="P94" s="29">
        <v>105000</v>
      </c>
      <c r="Q94" s="18">
        <v>105000</v>
      </c>
      <c r="R94" s="10">
        <v>105000</v>
      </c>
    </row>
    <row r="95" spans="1:18" s="8" customFormat="1" ht="100" customHeight="1" x14ac:dyDescent="0.3">
      <c r="A95" s="15">
        <v>2020</v>
      </c>
      <c r="B95" s="30" t="s">
        <v>338</v>
      </c>
      <c r="C95" s="30" t="s">
        <v>293</v>
      </c>
      <c r="D95" s="30" t="s">
        <v>336</v>
      </c>
      <c r="E95" s="30" t="s">
        <v>334</v>
      </c>
      <c r="F95" s="29" t="s">
        <v>335</v>
      </c>
      <c r="G95" s="23" t="s">
        <v>97</v>
      </c>
      <c r="H95" s="23" t="s">
        <v>291</v>
      </c>
      <c r="I95" s="30" t="s">
        <v>302</v>
      </c>
      <c r="J95" s="25">
        <v>44083</v>
      </c>
      <c r="K95" s="26"/>
      <c r="L95" s="26"/>
      <c r="M95" s="5"/>
      <c r="N95" s="27"/>
      <c r="O95" s="28"/>
      <c r="P95" s="29">
        <v>66500</v>
      </c>
      <c r="Q95" s="18">
        <v>66500</v>
      </c>
      <c r="R95" s="10">
        <v>66500</v>
      </c>
    </row>
    <row r="96" spans="1:18" s="8" customFormat="1" ht="100" customHeight="1" x14ac:dyDescent="0.3">
      <c r="A96" s="15">
        <v>2020</v>
      </c>
      <c r="B96" s="30" t="s">
        <v>339</v>
      </c>
      <c r="C96" s="30" t="s">
        <v>293</v>
      </c>
      <c r="D96" s="30" t="s">
        <v>340</v>
      </c>
      <c r="E96" s="30" t="s">
        <v>343</v>
      </c>
      <c r="F96" s="29"/>
      <c r="G96" s="30" t="s">
        <v>341</v>
      </c>
      <c r="H96" s="30" t="s">
        <v>342</v>
      </c>
      <c r="I96" s="30" t="s">
        <v>302</v>
      </c>
      <c r="J96" s="25">
        <v>44182</v>
      </c>
      <c r="K96" s="26"/>
      <c r="L96" s="26"/>
      <c r="M96" s="5"/>
      <c r="N96" s="27"/>
      <c r="O96" s="28"/>
      <c r="P96" s="29">
        <v>48000</v>
      </c>
      <c r="Q96" s="18">
        <v>48000</v>
      </c>
      <c r="R96" s="10">
        <v>48000</v>
      </c>
    </row>
    <row r="97" spans="1:18" s="8" customFormat="1" ht="100" customHeight="1" x14ac:dyDescent="0.3">
      <c r="A97" s="16">
        <v>2021</v>
      </c>
      <c r="B97" s="23" t="s">
        <v>225</v>
      </c>
      <c r="C97" s="23" t="s">
        <v>227</v>
      </c>
      <c r="D97" s="23" t="s">
        <v>226</v>
      </c>
      <c r="E97" s="24" t="s">
        <v>132</v>
      </c>
      <c r="F97" s="23"/>
      <c r="G97" s="23" t="s">
        <v>229</v>
      </c>
      <c r="H97" s="23" t="s">
        <v>251</v>
      </c>
      <c r="I97" s="23" t="s">
        <v>1</v>
      </c>
      <c r="J97" s="25">
        <v>44214</v>
      </c>
      <c r="K97" s="26">
        <v>44286</v>
      </c>
      <c r="L97" s="26">
        <v>44561</v>
      </c>
      <c r="M97" s="5">
        <v>44</v>
      </c>
      <c r="N97" s="27">
        <v>1</v>
      </c>
      <c r="O97" s="28">
        <v>450</v>
      </c>
      <c r="P97" s="29">
        <f>ROUND(M97*O97,2)</f>
        <v>19800</v>
      </c>
      <c r="Q97" s="18">
        <v>0</v>
      </c>
      <c r="R97" s="10">
        <v>0</v>
      </c>
    </row>
    <row r="98" spans="1:18" s="8" customFormat="1" ht="100" customHeight="1" x14ac:dyDescent="0.3">
      <c r="A98" s="16">
        <v>2021</v>
      </c>
      <c r="B98" s="23" t="s">
        <v>225</v>
      </c>
      <c r="C98" s="23" t="s">
        <v>227</v>
      </c>
      <c r="D98" s="23" t="s">
        <v>226</v>
      </c>
      <c r="E98" s="32" t="s">
        <v>136</v>
      </c>
      <c r="F98" s="23"/>
      <c r="G98" s="23" t="s">
        <v>229</v>
      </c>
      <c r="H98" s="23" t="s">
        <v>251</v>
      </c>
      <c r="I98" s="23" t="s">
        <v>11</v>
      </c>
      <c r="J98" s="25">
        <v>44237</v>
      </c>
      <c r="K98" s="26">
        <v>44601</v>
      </c>
      <c r="L98" s="26"/>
      <c r="M98" s="5">
        <v>12</v>
      </c>
      <c r="N98" s="27">
        <v>1</v>
      </c>
      <c r="O98" s="28">
        <v>5000</v>
      </c>
      <c r="P98" s="29">
        <f>ROUND(M98*O98,2)</f>
        <v>60000</v>
      </c>
      <c r="Q98" s="18">
        <v>0</v>
      </c>
      <c r="R98" s="10">
        <v>0</v>
      </c>
    </row>
    <row r="99" spans="1:18" s="8" customFormat="1" ht="100" customHeight="1" x14ac:dyDescent="0.3">
      <c r="A99" s="16">
        <v>2021</v>
      </c>
      <c r="B99" s="23" t="s">
        <v>225</v>
      </c>
      <c r="C99" s="23" t="s">
        <v>227</v>
      </c>
      <c r="D99" s="23" t="s">
        <v>226</v>
      </c>
      <c r="E99" s="32" t="s">
        <v>135</v>
      </c>
      <c r="F99" s="32" t="s">
        <v>183</v>
      </c>
      <c r="G99" s="23" t="s">
        <v>229</v>
      </c>
      <c r="H99" s="23" t="s">
        <v>251</v>
      </c>
      <c r="I99" s="23" t="s">
        <v>11</v>
      </c>
      <c r="J99" s="25">
        <v>44244</v>
      </c>
      <c r="K99" s="26">
        <v>44608</v>
      </c>
      <c r="L99" s="26"/>
      <c r="M99" s="5">
        <v>12</v>
      </c>
      <c r="N99" s="27">
        <v>1</v>
      </c>
      <c r="O99" s="28">
        <v>4000</v>
      </c>
      <c r="P99" s="29">
        <f>ROUND(M99*O99,2)</f>
        <v>48000</v>
      </c>
      <c r="Q99" s="18">
        <v>0</v>
      </c>
      <c r="R99" s="10">
        <v>0</v>
      </c>
    </row>
    <row r="100" spans="1:18" s="8" customFormat="1" ht="100" customHeight="1" x14ac:dyDescent="0.3">
      <c r="A100" s="16">
        <v>2021</v>
      </c>
      <c r="B100" s="23" t="s">
        <v>225</v>
      </c>
      <c r="C100" s="23" t="s">
        <v>227</v>
      </c>
      <c r="D100" s="23" t="s">
        <v>226</v>
      </c>
      <c r="E100" s="32" t="s">
        <v>174</v>
      </c>
      <c r="F100" s="23"/>
      <c r="G100" s="23" t="s">
        <v>229</v>
      </c>
      <c r="H100" s="23" t="s">
        <v>251</v>
      </c>
      <c r="I100" s="23" t="s">
        <v>11</v>
      </c>
      <c r="J100" s="25">
        <v>44301</v>
      </c>
      <c r="K100" s="26">
        <v>44483</v>
      </c>
      <c r="L100" s="35"/>
      <c r="M100" s="5">
        <f>+ROUND((12/22)+5+(10/20),4)</f>
        <v>6.0454999999999997</v>
      </c>
      <c r="N100" s="27">
        <v>1</v>
      </c>
      <c r="O100" s="28">
        <v>2750</v>
      </c>
      <c r="P100" s="29">
        <f>ROUND(M100*O100,2)</f>
        <v>16625.13</v>
      </c>
      <c r="Q100" s="18">
        <v>0</v>
      </c>
      <c r="R100" s="10">
        <v>13</v>
      </c>
    </row>
    <row r="101" spans="1:18" s="8" customFormat="1" ht="100" customHeight="1" x14ac:dyDescent="0.3">
      <c r="A101" s="16">
        <v>2021</v>
      </c>
      <c r="B101" s="23" t="s">
        <v>225</v>
      </c>
      <c r="C101" s="23" t="s">
        <v>227</v>
      </c>
      <c r="D101" s="23" t="s">
        <v>226</v>
      </c>
      <c r="E101" s="24" t="s">
        <v>137</v>
      </c>
      <c r="F101" s="23" t="s">
        <v>195</v>
      </c>
      <c r="G101" s="23" t="s">
        <v>229</v>
      </c>
      <c r="H101" s="23" t="s">
        <v>251</v>
      </c>
      <c r="I101" s="23" t="s">
        <v>11</v>
      </c>
      <c r="J101" s="25">
        <v>44249</v>
      </c>
      <c r="K101" s="26">
        <v>44429</v>
      </c>
      <c r="L101" s="26">
        <v>44460</v>
      </c>
      <c r="M101" s="5">
        <f>+ROUND((15/20)+6+(15/22),4)</f>
        <v>7.4318</v>
      </c>
      <c r="N101" s="27">
        <v>1</v>
      </c>
      <c r="O101" s="28">
        <v>5000</v>
      </c>
      <c r="P101" s="29">
        <f>ROUND(M101*O101,2)</f>
        <v>37159</v>
      </c>
      <c r="Q101" s="18">
        <v>0</v>
      </c>
      <c r="R101" s="10">
        <v>0</v>
      </c>
    </row>
    <row r="102" spans="1:18" s="8" customFormat="1" ht="100" customHeight="1" x14ac:dyDescent="0.3">
      <c r="A102" s="16">
        <v>2021</v>
      </c>
      <c r="B102" s="23" t="s">
        <v>225</v>
      </c>
      <c r="C102" s="23" t="s">
        <v>227</v>
      </c>
      <c r="D102" s="23" t="s">
        <v>226</v>
      </c>
      <c r="E102" s="32" t="s">
        <v>140</v>
      </c>
      <c r="F102" s="23" t="s">
        <v>202</v>
      </c>
      <c r="G102" s="23" t="s">
        <v>229</v>
      </c>
      <c r="H102" s="23" t="s">
        <v>251</v>
      </c>
      <c r="I102" s="23" t="s">
        <v>11</v>
      </c>
      <c r="J102" s="25">
        <v>44256</v>
      </c>
      <c r="K102" s="26">
        <v>44530</v>
      </c>
      <c r="L102" s="35"/>
      <c r="M102" s="5">
        <f>+ROUND(7+(6/20),2)</f>
        <v>7.3</v>
      </c>
      <c r="N102" s="27">
        <v>1</v>
      </c>
      <c r="O102" s="28">
        <v>2000</v>
      </c>
      <c r="P102" s="29">
        <f>ROUND(M102*O102,2)</f>
        <v>14600</v>
      </c>
      <c r="Q102" s="18">
        <v>0</v>
      </c>
      <c r="R102" s="10">
        <v>19</v>
      </c>
    </row>
    <row r="103" spans="1:18" s="8" customFormat="1" ht="100" customHeight="1" x14ac:dyDescent="0.3">
      <c r="A103" s="16">
        <v>2021</v>
      </c>
      <c r="B103" s="23" t="s">
        <v>225</v>
      </c>
      <c r="C103" s="23" t="s">
        <v>227</v>
      </c>
      <c r="D103" s="23" t="s">
        <v>226</v>
      </c>
      <c r="E103" s="32" t="s">
        <v>138</v>
      </c>
      <c r="F103" s="23"/>
      <c r="G103" s="23" t="s">
        <v>229</v>
      </c>
      <c r="H103" s="23" t="s">
        <v>251</v>
      </c>
      <c r="I103" s="23" t="s">
        <v>11</v>
      </c>
      <c r="J103" s="25">
        <v>44256</v>
      </c>
      <c r="K103" s="26">
        <v>44530</v>
      </c>
      <c r="L103" s="35"/>
      <c r="M103" s="5">
        <f>+ROUND(5+(19/21),4)</f>
        <v>5.9047999999999998</v>
      </c>
      <c r="N103" s="27">
        <v>1</v>
      </c>
      <c r="O103" s="28">
        <v>2000</v>
      </c>
      <c r="P103" s="29">
        <f>ROUND(M103*O103,2)</f>
        <v>11809.6</v>
      </c>
      <c r="Q103" s="18">
        <v>0</v>
      </c>
      <c r="R103" s="10">
        <v>38</v>
      </c>
    </row>
    <row r="104" spans="1:18" s="8" customFormat="1" ht="100" customHeight="1" x14ac:dyDescent="0.3">
      <c r="A104" s="16">
        <v>2021</v>
      </c>
      <c r="B104" s="23" t="s">
        <v>225</v>
      </c>
      <c r="C104" s="23" t="s">
        <v>227</v>
      </c>
      <c r="D104" s="23" t="s">
        <v>226</v>
      </c>
      <c r="E104" s="32" t="s">
        <v>139</v>
      </c>
      <c r="F104" s="23"/>
      <c r="G104" s="23" t="s">
        <v>229</v>
      </c>
      <c r="H104" s="23" t="s">
        <v>251</v>
      </c>
      <c r="I104" s="23" t="s">
        <v>11</v>
      </c>
      <c r="J104" s="25">
        <v>44256</v>
      </c>
      <c r="K104" s="26">
        <v>44620</v>
      </c>
      <c r="L104" s="35"/>
      <c r="M104" s="5">
        <v>12</v>
      </c>
      <c r="N104" s="27">
        <v>1</v>
      </c>
      <c r="O104" s="28">
        <v>4000</v>
      </c>
      <c r="P104" s="29">
        <f>ROUND(M104*O104,2)</f>
        <v>48000</v>
      </c>
      <c r="Q104" s="18">
        <v>0</v>
      </c>
      <c r="R104" s="10">
        <v>0</v>
      </c>
    </row>
    <row r="105" spans="1:18" s="8" customFormat="1" ht="100" customHeight="1" x14ac:dyDescent="0.3">
      <c r="A105" s="16">
        <v>2021</v>
      </c>
      <c r="B105" s="23" t="s">
        <v>225</v>
      </c>
      <c r="C105" s="23" t="s">
        <v>227</v>
      </c>
      <c r="D105" s="23" t="s">
        <v>226</v>
      </c>
      <c r="E105" s="32" t="s">
        <v>143</v>
      </c>
      <c r="F105" s="23"/>
      <c r="G105" s="23" t="s">
        <v>229</v>
      </c>
      <c r="H105" s="23" t="s">
        <v>251</v>
      </c>
      <c r="I105" s="23" t="s">
        <v>11</v>
      </c>
      <c r="J105" s="25">
        <v>44265</v>
      </c>
      <c r="K105" s="26">
        <v>44629</v>
      </c>
      <c r="L105" s="35"/>
      <c r="M105" s="5">
        <f>+ROUND((16/22)+11+(6/22),4)</f>
        <v>12</v>
      </c>
      <c r="N105" s="27">
        <v>1</v>
      </c>
      <c r="O105" s="28">
        <v>5000</v>
      </c>
      <c r="P105" s="29">
        <f>ROUND(M105*O105,2)</f>
        <v>60000</v>
      </c>
      <c r="Q105" s="18">
        <v>0</v>
      </c>
      <c r="R105" s="10">
        <v>20</v>
      </c>
    </row>
    <row r="106" spans="1:18" s="8" customFormat="1" ht="100" customHeight="1" x14ac:dyDescent="0.3">
      <c r="A106" s="16">
        <v>2021</v>
      </c>
      <c r="B106" s="23" t="s">
        <v>225</v>
      </c>
      <c r="C106" s="23" t="s">
        <v>227</v>
      </c>
      <c r="D106" s="23" t="s">
        <v>226</v>
      </c>
      <c r="E106" s="24" t="s">
        <v>144</v>
      </c>
      <c r="F106" s="23" t="s">
        <v>220</v>
      </c>
      <c r="G106" s="23" t="s">
        <v>229</v>
      </c>
      <c r="H106" s="23" t="s">
        <v>251</v>
      </c>
      <c r="I106" s="23" t="s">
        <v>11</v>
      </c>
      <c r="J106" s="25">
        <v>44287</v>
      </c>
      <c r="K106" s="26">
        <v>44651</v>
      </c>
      <c r="L106" s="26"/>
      <c r="M106" s="5">
        <v>12</v>
      </c>
      <c r="N106" s="27">
        <v>0</v>
      </c>
      <c r="O106" s="28">
        <v>4000</v>
      </c>
      <c r="P106" s="29">
        <f>ROUND(M106*O106,2)</f>
        <v>48000</v>
      </c>
      <c r="Q106" s="18">
        <v>0</v>
      </c>
      <c r="R106" s="10">
        <v>0</v>
      </c>
    </row>
    <row r="107" spans="1:18" s="8" customFormat="1" ht="100" customHeight="1" x14ac:dyDescent="0.3">
      <c r="A107" s="16">
        <v>2021</v>
      </c>
      <c r="B107" s="23" t="s">
        <v>225</v>
      </c>
      <c r="C107" s="23" t="s">
        <v>227</v>
      </c>
      <c r="D107" s="23" t="s">
        <v>226</v>
      </c>
      <c r="E107" s="24" t="s">
        <v>147</v>
      </c>
      <c r="F107" s="23" t="s">
        <v>198</v>
      </c>
      <c r="G107" s="23" t="s">
        <v>229</v>
      </c>
      <c r="H107" s="23" t="s">
        <v>251</v>
      </c>
      <c r="I107" s="23" t="s">
        <v>11</v>
      </c>
      <c r="J107" s="25">
        <v>44271</v>
      </c>
      <c r="K107" s="26">
        <v>44635</v>
      </c>
      <c r="L107" s="26"/>
      <c r="M107" s="5">
        <f>+ROUND((12/22)+5,4)</f>
        <v>5.5454999999999997</v>
      </c>
      <c r="N107" s="27">
        <v>0</v>
      </c>
      <c r="O107" s="28">
        <v>3000</v>
      </c>
      <c r="P107" s="29">
        <f>ROUND(M107*O107,2)</f>
        <v>16636.5</v>
      </c>
      <c r="Q107" s="18">
        <v>0</v>
      </c>
      <c r="R107" s="10">
        <v>20</v>
      </c>
    </row>
    <row r="108" spans="1:18" s="8" customFormat="1" ht="100" customHeight="1" x14ac:dyDescent="0.3">
      <c r="A108" s="16">
        <v>2021</v>
      </c>
      <c r="B108" s="23" t="s">
        <v>225</v>
      </c>
      <c r="C108" s="23" t="s">
        <v>227</v>
      </c>
      <c r="D108" s="23" t="s">
        <v>226</v>
      </c>
      <c r="E108" s="24" t="s">
        <v>142</v>
      </c>
      <c r="F108" s="23"/>
      <c r="G108" s="23" t="s">
        <v>229</v>
      </c>
      <c r="H108" s="23" t="s">
        <v>251</v>
      </c>
      <c r="I108" s="23" t="s">
        <v>11</v>
      </c>
      <c r="J108" s="25">
        <v>44259</v>
      </c>
      <c r="K108" s="26">
        <v>44623</v>
      </c>
      <c r="L108" s="26"/>
      <c r="M108" s="5">
        <f>+ROUND((18/22)+11+(19/22),4)</f>
        <v>12.681800000000001</v>
      </c>
      <c r="N108" s="27">
        <v>0</v>
      </c>
      <c r="O108" s="28">
        <v>2100</v>
      </c>
      <c r="P108" s="29">
        <f>ROUND(M108*O108,2)</f>
        <v>26631.78</v>
      </c>
      <c r="Q108" s="18">
        <v>0</v>
      </c>
      <c r="R108" s="10">
        <v>0</v>
      </c>
    </row>
    <row r="109" spans="1:18" s="8" customFormat="1" ht="100" customHeight="1" x14ac:dyDescent="0.3">
      <c r="A109" s="16">
        <v>2021</v>
      </c>
      <c r="B109" s="23" t="s">
        <v>225</v>
      </c>
      <c r="C109" s="23" t="s">
        <v>227</v>
      </c>
      <c r="D109" s="23" t="s">
        <v>226</v>
      </c>
      <c r="E109" s="32" t="s">
        <v>181</v>
      </c>
      <c r="F109" s="23"/>
      <c r="G109" s="23" t="s">
        <v>229</v>
      </c>
      <c r="H109" s="23" t="s">
        <v>251</v>
      </c>
      <c r="I109" s="23" t="s">
        <v>11</v>
      </c>
      <c r="J109" s="25">
        <v>44333</v>
      </c>
      <c r="K109" s="26">
        <v>44608</v>
      </c>
      <c r="L109" s="35"/>
      <c r="M109" s="5">
        <f>+ROUND((11/18)+8+(12/20),4)</f>
        <v>9.2111000000000001</v>
      </c>
      <c r="N109" s="27">
        <v>1</v>
      </c>
      <c r="O109" s="28">
        <v>1800</v>
      </c>
      <c r="P109" s="29">
        <f>ROUND(M109*O109,2)</f>
        <v>16579.98</v>
      </c>
      <c r="Q109" s="18">
        <v>0</v>
      </c>
      <c r="R109" s="10">
        <v>0</v>
      </c>
    </row>
    <row r="110" spans="1:18" s="8" customFormat="1" ht="100" customHeight="1" x14ac:dyDescent="0.3">
      <c r="A110" s="16">
        <v>2021</v>
      </c>
      <c r="B110" s="23" t="s">
        <v>225</v>
      </c>
      <c r="C110" s="23" t="s">
        <v>227</v>
      </c>
      <c r="D110" s="23" t="s">
        <v>226</v>
      </c>
      <c r="E110" s="32" t="s">
        <v>150</v>
      </c>
      <c r="F110" s="23"/>
      <c r="G110" s="23" t="s">
        <v>229</v>
      </c>
      <c r="H110" s="23" t="s">
        <v>251</v>
      </c>
      <c r="I110" s="23" t="s">
        <v>11</v>
      </c>
      <c r="J110" s="25">
        <v>44287</v>
      </c>
      <c r="K110" s="26">
        <v>44651</v>
      </c>
      <c r="L110" s="35"/>
      <c r="M110" s="5">
        <v>12</v>
      </c>
      <c r="N110" s="27">
        <v>1</v>
      </c>
      <c r="O110" s="28">
        <v>2000</v>
      </c>
      <c r="P110" s="29">
        <f>ROUND(M110*O110,2)</f>
        <v>24000</v>
      </c>
      <c r="Q110" s="18">
        <v>0</v>
      </c>
      <c r="R110" s="10">
        <v>25</v>
      </c>
    </row>
    <row r="111" spans="1:18" s="8" customFormat="1" ht="100" customHeight="1" x14ac:dyDescent="0.3">
      <c r="A111" s="16">
        <v>2021</v>
      </c>
      <c r="B111" s="23" t="s">
        <v>225</v>
      </c>
      <c r="C111" s="23" t="s">
        <v>227</v>
      </c>
      <c r="D111" s="23" t="s">
        <v>226</v>
      </c>
      <c r="E111" s="24" t="s">
        <v>145</v>
      </c>
      <c r="F111" s="23"/>
      <c r="G111" s="23" t="s">
        <v>229</v>
      </c>
      <c r="H111" s="23" t="s">
        <v>251</v>
      </c>
      <c r="I111" s="23" t="s">
        <v>11</v>
      </c>
      <c r="J111" s="25">
        <v>44271</v>
      </c>
      <c r="K111" s="26">
        <v>44635</v>
      </c>
      <c r="L111" s="26"/>
      <c r="M111" s="5">
        <f>+ROUND((12/22)+11+(10/22),4)</f>
        <v>12</v>
      </c>
      <c r="N111" s="27">
        <v>0</v>
      </c>
      <c r="O111" s="28">
        <v>3500</v>
      </c>
      <c r="P111" s="29">
        <f>ROUND(M111*O111,2)</f>
        <v>42000</v>
      </c>
      <c r="Q111" s="18">
        <v>0</v>
      </c>
      <c r="R111" s="10">
        <v>42</v>
      </c>
    </row>
    <row r="112" spans="1:18" s="8" customFormat="1" ht="100" customHeight="1" x14ac:dyDescent="0.3">
      <c r="A112" s="16">
        <v>2021</v>
      </c>
      <c r="B112" s="23" t="s">
        <v>225</v>
      </c>
      <c r="C112" s="23" t="s">
        <v>227</v>
      </c>
      <c r="D112" s="23" t="s">
        <v>226</v>
      </c>
      <c r="E112" s="24" t="s">
        <v>181</v>
      </c>
      <c r="F112" s="23"/>
      <c r="G112" s="23" t="s">
        <v>229</v>
      </c>
      <c r="H112" s="23" t="s">
        <v>251</v>
      </c>
      <c r="I112" s="23" t="s">
        <v>11</v>
      </c>
      <c r="J112" s="25">
        <v>44333</v>
      </c>
      <c r="K112" s="26">
        <v>44608</v>
      </c>
      <c r="L112" s="26"/>
      <c r="M112" s="5">
        <f>+ROUND((12/22)+11+(10/22),4)</f>
        <v>12</v>
      </c>
      <c r="N112" s="27">
        <v>0</v>
      </c>
      <c r="O112" s="28">
        <v>1800</v>
      </c>
      <c r="P112" s="29">
        <f>ROUND(M112*O112,2)</f>
        <v>21600</v>
      </c>
      <c r="Q112" s="18">
        <v>0</v>
      </c>
      <c r="R112" s="10">
        <v>0</v>
      </c>
    </row>
    <row r="113" spans="1:18" s="8" customFormat="1" ht="100" customHeight="1" x14ac:dyDescent="0.3">
      <c r="A113" s="16">
        <v>2021</v>
      </c>
      <c r="B113" s="23" t="s">
        <v>225</v>
      </c>
      <c r="C113" s="23" t="s">
        <v>227</v>
      </c>
      <c r="D113" s="23" t="s">
        <v>226</v>
      </c>
      <c r="E113" s="24" t="s">
        <v>186</v>
      </c>
      <c r="F113" s="23" t="s">
        <v>208</v>
      </c>
      <c r="G113" s="23" t="s">
        <v>229</v>
      </c>
      <c r="H113" s="23" t="s">
        <v>251</v>
      </c>
      <c r="I113" s="23" t="s">
        <v>11</v>
      </c>
      <c r="J113" s="25">
        <v>44302</v>
      </c>
      <c r="K113" s="26">
        <v>44666</v>
      </c>
      <c r="L113" s="26"/>
      <c r="M113" s="5">
        <f>+ROUND((11/22)+11+(11/21),4)</f>
        <v>12.0238</v>
      </c>
      <c r="N113" s="27">
        <v>0</v>
      </c>
      <c r="O113" s="28">
        <v>2600</v>
      </c>
      <c r="P113" s="29">
        <f>ROUND(M113*O113,2)</f>
        <v>31261.88</v>
      </c>
      <c r="Q113" s="18">
        <v>0</v>
      </c>
      <c r="R113" s="10">
        <v>0</v>
      </c>
    </row>
    <row r="114" spans="1:18" s="8" customFormat="1" ht="100" customHeight="1" x14ac:dyDescent="0.3">
      <c r="A114" s="16">
        <v>2021</v>
      </c>
      <c r="B114" s="23" t="s">
        <v>225</v>
      </c>
      <c r="C114" s="23" t="s">
        <v>227</v>
      </c>
      <c r="D114" s="23" t="s">
        <v>226</v>
      </c>
      <c r="E114" s="24" t="s">
        <v>177</v>
      </c>
      <c r="F114" s="24" t="s">
        <v>214</v>
      </c>
      <c r="G114" s="23" t="s">
        <v>229</v>
      </c>
      <c r="H114" s="23" t="s">
        <v>251</v>
      </c>
      <c r="I114" s="23" t="s">
        <v>1</v>
      </c>
      <c r="J114" s="25">
        <v>44308</v>
      </c>
      <c r="K114" s="26">
        <v>44561</v>
      </c>
      <c r="L114" s="26">
        <v>44651</v>
      </c>
      <c r="M114" s="5">
        <v>40</v>
      </c>
      <c r="N114" s="27">
        <v>1</v>
      </c>
      <c r="O114" s="28">
        <v>450</v>
      </c>
      <c r="P114" s="29">
        <f>ROUND(M114*O114,2)</f>
        <v>18000</v>
      </c>
      <c r="Q114" s="18">
        <v>0</v>
      </c>
      <c r="R114" s="10">
        <v>0</v>
      </c>
    </row>
    <row r="115" spans="1:18" s="8" customFormat="1" ht="100" customHeight="1" x14ac:dyDescent="0.3">
      <c r="A115" s="16">
        <v>2021</v>
      </c>
      <c r="B115" s="23" t="s">
        <v>225</v>
      </c>
      <c r="C115" s="23" t="s">
        <v>227</v>
      </c>
      <c r="D115" s="23" t="s">
        <v>226</v>
      </c>
      <c r="E115" s="24" t="s">
        <v>167</v>
      </c>
      <c r="F115" s="23" t="s">
        <v>201</v>
      </c>
      <c r="G115" s="23" t="s">
        <v>229</v>
      </c>
      <c r="H115" s="23" t="s">
        <v>251</v>
      </c>
      <c r="I115" s="23" t="s">
        <v>11</v>
      </c>
      <c r="J115" s="25">
        <v>44287</v>
      </c>
      <c r="K115" s="26">
        <v>44651</v>
      </c>
      <c r="L115" s="26"/>
      <c r="M115" s="5">
        <f>+ROUND(6+(6/20),2)</f>
        <v>6.3</v>
      </c>
      <c r="N115" s="27">
        <v>1</v>
      </c>
      <c r="O115" s="28">
        <v>3000</v>
      </c>
      <c r="P115" s="29">
        <f>ROUND(M115*O115,2)</f>
        <v>18900</v>
      </c>
      <c r="Q115" s="18">
        <v>0</v>
      </c>
      <c r="R115" s="10">
        <v>0</v>
      </c>
    </row>
    <row r="116" spans="1:18" s="8" customFormat="1" ht="100" customHeight="1" x14ac:dyDescent="0.3">
      <c r="A116" s="16">
        <v>2021</v>
      </c>
      <c r="B116" s="23" t="s">
        <v>225</v>
      </c>
      <c r="C116" s="23" t="s">
        <v>227</v>
      </c>
      <c r="D116" s="23" t="s">
        <v>226</v>
      </c>
      <c r="E116" s="24" t="s">
        <v>146</v>
      </c>
      <c r="F116" s="23"/>
      <c r="G116" s="23" t="s">
        <v>229</v>
      </c>
      <c r="H116" s="23" t="s">
        <v>251</v>
      </c>
      <c r="I116" s="23" t="s">
        <v>11</v>
      </c>
      <c r="J116" s="25">
        <v>44271</v>
      </c>
      <c r="K116" s="26">
        <v>44635</v>
      </c>
      <c r="L116" s="26"/>
      <c r="M116" s="5">
        <f>+ROUND((12/22)+11+(10/22),4)</f>
        <v>12</v>
      </c>
      <c r="N116" s="27">
        <v>0</v>
      </c>
      <c r="O116" s="28">
        <v>3500</v>
      </c>
      <c r="P116" s="29">
        <f>ROUND(M116*O116,2)</f>
        <v>42000</v>
      </c>
      <c r="Q116" s="18">
        <v>0</v>
      </c>
      <c r="R116" s="10">
        <v>0</v>
      </c>
    </row>
    <row r="117" spans="1:18" s="8" customFormat="1" ht="100" customHeight="1" x14ac:dyDescent="0.3">
      <c r="A117" s="16">
        <v>2021</v>
      </c>
      <c r="B117" s="23" t="s">
        <v>225</v>
      </c>
      <c r="C117" s="23" t="s">
        <v>227</v>
      </c>
      <c r="D117" s="23" t="s">
        <v>226</v>
      </c>
      <c r="E117" s="24" t="s">
        <v>155</v>
      </c>
      <c r="F117" s="23"/>
      <c r="G117" s="23" t="s">
        <v>229</v>
      </c>
      <c r="H117" s="23" t="s">
        <v>251</v>
      </c>
      <c r="I117" s="23" t="s">
        <v>11</v>
      </c>
      <c r="J117" s="25">
        <v>44287</v>
      </c>
      <c r="K117" s="26">
        <v>44651</v>
      </c>
      <c r="L117" s="26"/>
      <c r="M117" s="5">
        <v>12</v>
      </c>
      <c r="N117" s="27">
        <v>1</v>
      </c>
      <c r="O117" s="28">
        <v>3200</v>
      </c>
      <c r="P117" s="29">
        <f>ROUND(M117*O117,2)</f>
        <v>38400</v>
      </c>
      <c r="Q117" s="18">
        <v>0</v>
      </c>
      <c r="R117" s="10">
        <v>25</v>
      </c>
    </row>
    <row r="118" spans="1:18" s="8" customFormat="1" ht="100" customHeight="1" x14ac:dyDescent="0.3">
      <c r="A118" s="16">
        <v>2021</v>
      </c>
      <c r="B118" s="23" t="s">
        <v>225</v>
      </c>
      <c r="C118" s="23" t="s">
        <v>227</v>
      </c>
      <c r="D118" s="23" t="s">
        <v>226</v>
      </c>
      <c r="E118" s="24" t="s">
        <v>156</v>
      </c>
      <c r="F118" s="23"/>
      <c r="G118" s="23" t="s">
        <v>229</v>
      </c>
      <c r="H118" s="23" t="s">
        <v>251</v>
      </c>
      <c r="I118" s="23" t="s">
        <v>11</v>
      </c>
      <c r="J118" s="25">
        <v>44287</v>
      </c>
      <c r="K118" s="26">
        <v>44561</v>
      </c>
      <c r="L118" s="26"/>
      <c r="M118" s="5">
        <v>9</v>
      </c>
      <c r="N118" s="27">
        <v>1</v>
      </c>
      <c r="O118" s="28">
        <v>2700</v>
      </c>
      <c r="P118" s="29">
        <f>ROUND(M118*O118,2)</f>
        <v>24300</v>
      </c>
      <c r="Q118" s="18">
        <v>0</v>
      </c>
      <c r="R118" s="10">
        <v>0</v>
      </c>
    </row>
    <row r="119" spans="1:18" s="8" customFormat="1" ht="100" customHeight="1" x14ac:dyDescent="0.3">
      <c r="A119" s="16">
        <v>2021</v>
      </c>
      <c r="B119" s="23" t="s">
        <v>225</v>
      </c>
      <c r="C119" s="23" t="s">
        <v>227</v>
      </c>
      <c r="D119" s="23" t="s">
        <v>226</v>
      </c>
      <c r="E119" s="24" t="s">
        <v>169</v>
      </c>
      <c r="F119" s="23"/>
      <c r="G119" s="23" t="s">
        <v>229</v>
      </c>
      <c r="H119" s="23" t="s">
        <v>251</v>
      </c>
      <c r="I119" s="23" t="s">
        <v>11</v>
      </c>
      <c r="J119" s="25">
        <v>44287</v>
      </c>
      <c r="K119" s="26">
        <v>44651</v>
      </c>
      <c r="L119" s="26"/>
      <c r="M119" s="5">
        <v>12</v>
      </c>
      <c r="N119" s="27">
        <v>1</v>
      </c>
      <c r="O119" s="28">
        <v>2500</v>
      </c>
      <c r="P119" s="29">
        <f>ROUND(M119*O119,2)</f>
        <v>30000</v>
      </c>
      <c r="Q119" s="18">
        <v>0</v>
      </c>
      <c r="R119" s="10">
        <v>10</v>
      </c>
    </row>
    <row r="120" spans="1:18" s="8" customFormat="1" ht="100" customHeight="1" x14ac:dyDescent="0.3">
      <c r="A120" s="16">
        <v>2021</v>
      </c>
      <c r="B120" s="23" t="s">
        <v>225</v>
      </c>
      <c r="C120" s="23" t="s">
        <v>227</v>
      </c>
      <c r="D120" s="23" t="s">
        <v>226</v>
      </c>
      <c r="E120" s="24" t="s">
        <v>151</v>
      </c>
      <c r="F120" s="23"/>
      <c r="G120" s="23" t="s">
        <v>229</v>
      </c>
      <c r="H120" s="23" t="s">
        <v>251</v>
      </c>
      <c r="I120" s="23" t="s">
        <v>11</v>
      </c>
      <c r="J120" s="25">
        <v>44287</v>
      </c>
      <c r="K120" s="26">
        <v>44651</v>
      </c>
      <c r="L120" s="26"/>
      <c r="M120" s="5">
        <v>12</v>
      </c>
      <c r="N120" s="27">
        <v>1</v>
      </c>
      <c r="O120" s="28">
        <v>5000</v>
      </c>
      <c r="P120" s="29">
        <f>ROUND(M120*O120,2)</f>
        <v>60000</v>
      </c>
      <c r="Q120" s="18">
        <v>0</v>
      </c>
      <c r="R120" s="10">
        <v>0</v>
      </c>
    </row>
    <row r="121" spans="1:18" s="8" customFormat="1" ht="100" customHeight="1" x14ac:dyDescent="0.3">
      <c r="A121" s="16">
        <v>2021</v>
      </c>
      <c r="B121" s="23" t="s">
        <v>225</v>
      </c>
      <c r="C121" s="23" t="s">
        <v>227</v>
      </c>
      <c r="D121" s="23" t="s">
        <v>226</v>
      </c>
      <c r="E121" s="24" t="s">
        <v>152</v>
      </c>
      <c r="F121" s="23"/>
      <c r="G121" s="23" t="s">
        <v>229</v>
      </c>
      <c r="H121" s="23" t="s">
        <v>251</v>
      </c>
      <c r="I121" s="23" t="s">
        <v>11</v>
      </c>
      <c r="J121" s="25">
        <v>44287</v>
      </c>
      <c r="K121" s="26">
        <v>44651</v>
      </c>
      <c r="L121" s="26"/>
      <c r="M121" s="5">
        <v>12</v>
      </c>
      <c r="N121" s="27">
        <v>1</v>
      </c>
      <c r="O121" s="28">
        <v>5000</v>
      </c>
      <c r="P121" s="29">
        <f>ROUND(M121*O121,2)</f>
        <v>60000</v>
      </c>
      <c r="Q121" s="18">
        <v>0</v>
      </c>
      <c r="R121" s="10">
        <v>0</v>
      </c>
    </row>
    <row r="122" spans="1:18" s="8" customFormat="1" ht="100" customHeight="1" x14ac:dyDescent="0.3">
      <c r="A122" s="16">
        <v>2021</v>
      </c>
      <c r="B122" s="23" t="s">
        <v>225</v>
      </c>
      <c r="C122" s="23" t="s">
        <v>227</v>
      </c>
      <c r="D122" s="23" t="s">
        <v>226</v>
      </c>
      <c r="E122" s="24" t="s">
        <v>158</v>
      </c>
      <c r="F122" s="23"/>
      <c r="G122" s="23" t="s">
        <v>229</v>
      </c>
      <c r="H122" s="23" t="s">
        <v>251</v>
      </c>
      <c r="I122" s="23" t="s">
        <v>11</v>
      </c>
      <c r="J122" s="25">
        <v>44287</v>
      </c>
      <c r="K122" s="26">
        <v>44651</v>
      </c>
      <c r="L122" s="26"/>
      <c r="M122" s="5">
        <v>12</v>
      </c>
      <c r="N122" s="27">
        <v>1</v>
      </c>
      <c r="O122" s="28">
        <v>5000</v>
      </c>
      <c r="P122" s="29">
        <f>ROUND(M122*O122,2)</f>
        <v>60000</v>
      </c>
      <c r="Q122" s="18">
        <v>0</v>
      </c>
      <c r="R122" s="10">
        <v>0</v>
      </c>
    </row>
    <row r="123" spans="1:18" s="8" customFormat="1" ht="100" customHeight="1" x14ac:dyDescent="0.3">
      <c r="A123" s="16">
        <v>2021</v>
      </c>
      <c r="B123" s="23" t="s">
        <v>225</v>
      </c>
      <c r="C123" s="23" t="s">
        <v>227</v>
      </c>
      <c r="D123" s="23" t="s">
        <v>226</v>
      </c>
      <c r="E123" s="24" t="s">
        <v>153</v>
      </c>
      <c r="F123" s="23"/>
      <c r="G123" s="23" t="s">
        <v>229</v>
      </c>
      <c r="H123" s="23" t="s">
        <v>251</v>
      </c>
      <c r="I123" s="23" t="s">
        <v>11</v>
      </c>
      <c r="J123" s="25">
        <v>44287</v>
      </c>
      <c r="K123" s="26">
        <v>44651</v>
      </c>
      <c r="L123" s="26"/>
      <c r="M123" s="5">
        <v>12</v>
      </c>
      <c r="N123" s="27">
        <v>1</v>
      </c>
      <c r="O123" s="28">
        <v>5000</v>
      </c>
      <c r="P123" s="29">
        <f>ROUND(M123*O123,2)</f>
        <v>60000</v>
      </c>
      <c r="Q123" s="18">
        <v>0</v>
      </c>
      <c r="R123" s="10">
        <v>0</v>
      </c>
    </row>
    <row r="124" spans="1:18" s="8" customFormat="1" ht="100" customHeight="1" x14ac:dyDescent="0.3">
      <c r="A124" s="16">
        <v>2021</v>
      </c>
      <c r="B124" s="23" t="s">
        <v>225</v>
      </c>
      <c r="C124" s="23" t="s">
        <v>227</v>
      </c>
      <c r="D124" s="23" t="s">
        <v>226</v>
      </c>
      <c r="E124" s="24" t="s">
        <v>154</v>
      </c>
      <c r="F124" s="23"/>
      <c r="G124" s="23" t="s">
        <v>229</v>
      </c>
      <c r="H124" s="23" t="s">
        <v>251</v>
      </c>
      <c r="I124" s="23" t="s">
        <v>11</v>
      </c>
      <c r="J124" s="25">
        <v>44287</v>
      </c>
      <c r="K124" s="26">
        <v>44651</v>
      </c>
      <c r="L124" s="26"/>
      <c r="M124" s="5">
        <v>12</v>
      </c>
      <c r="N124" s="27">
        <v>1</v>
      </c>
      <c r="O124" s="28">
        <v>3500</v>
      </c>
      <c r="P124" s="29">
        <f>ROUND(M124*O124,2)</f>
        <v>42000</v>
      </c>
      <c r="Q124" s="18">
        <v>0</v>
      </c>
      <c r="R124" s="10">
        <v>0</v>
      </c>
    </row>
    <row r="125" spans="1:18" s="8" customFormat="1" ht="100" customHeight="1" x14ac:dyDescent="0.3">
      <c r="A125" s="16">
        <v>2021</v>
      </c>
      <c r="B125" s="23" t="s">
        <v>225</v>
      </c>
      <c r="C125" s="23" t="s">
        <v>227</v>
      </c>
      <c r="D125" s="23" t="s">
        <v>226</v>
      </c>
      <c r="E125" s="24" t="s">
        <v>168</v>
      </c>
      <c r="F125" s="23"/>
      <c r="G125" s="23" t="s">
        <v>229</v>
      </c>
      <c r="H125" s="23" t="s">
        <v>251</v>
      </c>
      <c r="I125" s="23" t="s">
        <v>11</v>
      </c>
      <c r="J125" s="25">
        <v>44287</v>
      </c>
      <c r="K125" s="26">
        <v>44651</v>
      </c>
      <c r="L125" s="26"/>
      <c r="M125" s="5">
        <v>12</v>
      </c>
      <c r="N125" s="27">
        <v>1</v>
      </c>
      <c r="O125" s="28">
        <v>2500</v>
      </c>
      <c r="P125" s="29">
        <f>ROUND(M125*O125,2)</f>
        <v>30000</v>
      </c>
      <c r="Q125" s="18">
        <v>0</v>
      </c>
      <c r="R125" s="10">
        <v>10</v>
      </c>
    </row>
    <row r="126" spans="1:18" s="8" customFormat="1" ht="100" customHeight="1" x14ac:dyDescent="0.3">
      <c r="A126" s="16">
        <v>2021</v>
      </c>
      <c r="B126" s="23" t="s">
        <v>225</v>
      </c>
      <c r="C126" s="23" t="s">
        <v>227</v>
      </c>
      <c r="D126" s="23" t="s">
        <v>226</v>
      </c>
      <c r="E126" s="24" t="s">
        <v>159</v>
      </c>
      <c r="F126" s="23"/>
      <c r="G126" s="23" t="s">
        <v>229</v>
      </c>
      <c r="H126" s="23" t="s">
        <v>251</v>
      </c>
      <c r="I126" s="23" t="s">
        <v>11</v>
      </c>
      <c r="J126" s="25">
        <v>44287</v>
      </c>
      <c r="K126" s="26">
        <v>44651</v>
      </c>
      <c r="L126" s="26"/>
      <c r="M126" s="5">
        <v>12</v>
      </c>
      <c r="N126" s="27">
        <v>1</v>
      </c>
      <c r="O126" s="28">
        <v>5000</v>
      </c>
      <c r="P126" s="29">
        <f>ROUND(M126*O126,2)</f>
        <v>60000</v>
      </c>
      <c r="Q126" s="18">
        <v>0</v>
      </c>
      <c r="R126" s="10">
        <v>20</v>
      </c>
    </row>
    <row r="127" spans="1:18" s="8" customFormat="1" ht="100" customHeight="1" x14ac:dyDescent="0.3">
      <c r="A127" s="16">
        <v>2021</v>
      </c>
      <c r="B127" s="23" t="s">
        <v>225</v>
      </c>
      <c r="C127" s="23" t="s">
        <v>227</v>
      </c>
      <c r="D127" s="23" t="s">
        <v>226</v>
      </c>
      <c r="E127" s="24" t="s">
        <v>157</v>
      </c>
      <c r="F127" s="23"/>
      <c r="G127" s="23" t="s">
        <v>229</v>
      </c>
      <c r="H127" s="23" t="s">
        <v>251</v>
      </c>
      <c r="I127" s="23" t="s">
        <v>1</v>
      </c>
      <c r="J127" s="25">
        <v>44287</v>
      </c>
      <c r="K127" s="26">
        <v>44561</v>
      </c>
      <c r="L127" s="35"/>
      <c r="M127" s="5">
        <v>9</v>
      </c>
      <c r="N127" s="27">
        <v>1</v>
      </c>
      <c r="O127" s="28">
        <v>2000</v>
      </c>
      <c r="P127" s="29">
        <f>ROUND(M127*O127,2)</f>
        <v>18000</v>
      </c>
      <c r="Q127" s="18">
        <v>0</v>
      </c>
      <c r="R127" s="10">
        <v>25</v>
      </c>
    </row>
    <row r="128" spans="1:18" s="8" customFormat="1" ht="100" customHeight="1" x14ac:dyDescent="0.3">
      <c r="A128" s="16">
        <v>2021</v>
      </c>
      <c r="B128" s="23" t="s">
        <v>225</v>
      </c>
      <c r="C128" s="23" t="s">
        <v>227</v>
      </c>
      <c r="D128" s="23" t="s">
        <v>226</v>
      </c>
      <c r="E128" s="24" t="s">
        <v>165</v>
      </c>
      <c r="F128" s="23"/>
      <c r="G128" s="23" t="s">
        <v>229</v>
      </c>
      <c r="H128" s="23" t="s">
        <v>251</v>
      </c>
      <c r="I128" s="23" t="s">
        <v>11</v>
      </c>
      <c r="J128" s="25">
        <v>44287</v>
      </c>
      <c r="K128" s="26">
        <v>44561</v>
      </c>
      <c r="L128" s="26"/>
      <c r="M128" s="5">
        <v>9</v>
      </c>
      <c r="N128" s="27">
        <v>1</v>
      </c>
      <c r="O128" s="28">
        <v>2500</v>
      </c>
      <c r="P128" s="29">
        <f>ROUND(M128*O128,2)</f>
        <v>22500</v>
      </c>
      <c r="Q128" s="18">
        <v>0</v>
      </c>
      <c r="R128" s="10">
        <v>0</v>
      </c>
    </row>
    <row r="129" spans="1:18" s="8" customFormat="1" ht="100" customHeight="1" x14ac:dyDescent="0.3">
      <c r="A129" s="16">
        <v>2021</v>
      </c>
      <c r="B129" s="23" t="s">
        <v>225</v>
      </c>
      <c r="C129" s="23" t="s">
        <v>227</v>
      </c>
      <c r="D129" s="23" t="s">
        <v>226</v>
      </c>
      <c r="E129" s="24" t="s">
        <v>160</v>
      </c>
      <c r="F129" s="23"/>
      <c r="G129" s="23" t="s">
        <v>229</v>
      </c>
      <c r="H129" s="23" t="s">
        <v>251</v>
      </c>
      <c r="I129" s="23" t="s">
        <v>11</v>
      </c>
      <c r="J129" s="25">
        <v>44287</v>
      </c>
      <c r="K129" s="26">
        <v>44651</v>
      </c>
      <c r="L129" s="26"/>
      <c r="M129" s="5">
        <v>12</v>
      </c>
      <c r="N129" s="27">
        <v>1</v>
      </c>
      <c r="O129" s="28">
        <v>2000</v>
      </c>
      <c r="P129" s="29">
        <f>ROUND(M129*O129,2)</f>
        <v>24000</v>
      </c>
      <c r="Q129" s="18">
        <v>0</v>
      </c>
      <c r="R129" s="10">
        <v>20</v>
      </c>
    </row>
    <row r="130" spans="1:18" s="8" customFormat="1" ht="100" customHeight="1" x14ac:dyDescent="0.3">
      <c r="A130" s="16">
        <v>2021</v>
      </c>
      <c r="B130" s="23" t="s">
        <v>225</v>
      </c>
      <c r="C130" s="23" t="s">
        <v>227</v>
      </c>
      <c r="D130" s="23" t="s">
        <v>226</v>
      </c>
      <c r="E130" s="24" t="s">
        <v>166</v>
      </c>
      <c r="F130" s="23"/>
      <c r="G130" s="23" t="s">
        <v>229</v>
      </c>
      <c r="H130" s="23" t="s">
        <v>251</v>
      </c>
      <c r="I130" s="23" t="s">
        <v>11</v>
      </c>
      <c r="J130" s="25">
        <v>44287</v>
      </c>
      <c r="K130" s="26">
        <v>44651</v>
      </c>
      <c r="L130" s="26"/>
      <c r="M130" s="5">
        <v>12</v>
      </c>
      <c r="N130" s="27">
        <v>1</v>
      </c>
      <c r="O130" s="28">
        <v>2000</v>
      </c>
      <c r="P130" s="29">
        <f>ROUND(M130*O130,2)</f>
        <v>24000</v>
      </c>
      <c r="Q130" s="18">
        <v>0</v>
      </c>
      <c r="R130" s="10">
        <v>20</v>
      </c>
    </row>
    <row r="131" spans="1:18" s="8" customFormat="1" ht="100" customHeight="1" x14ac:dyDescent="0.3">
      <c r="A131" s="16">
        <v>2021</v>
      </c>
      <c r="B131" s="23" t="s">
        <v>225</v>
      </c>
      <c r="C131" s="23" t="s">
        <v>227</v>
      </c>
      <c r="D131" s="23" t="s">
        <v>226</v>
      </c>
      <c r="E131" s="24" t="s">
        <v>179</v>
      </c>
      <c r="F131" s="23"/>
      <c r="G131" s="23" t="s">
        <v>229</v>
      </c>
      <c r="H131" s="23" t="s">
        <v>251</v>
      </c>
      <c r="I131" s="23" t="s">
        <v>11</v>
      </c>
      <c r="J131" s="25">
        <v>44319</v>
      </c>
      <c r="K131" s="26">
        <v>44651</v>
      </c>
      <c r="L131" s="26"/>
      <c r="M131" s="5">
        <v>11</v>
      </c>
      <c r="N131" s="27">
        <v>1</v>
      </c>
      <c r="O131" s="28">
        <v>2500</v>
      </c>
      <c r="P131" s="29">
        <f>ROUND(M131*O131,2)</f>
        <v>27500</v>
      </c>
      <c r="Q131" s="18">
        <v>0</v>
      </c>
      <c r="R131" s="10">
        <v>25</v>
      </c>
    </row>
    <row r="132" spans="1:18" s="8" customFormat="1" ht="100" customHeight="1" x14ac:dyDescent="0.3">
      <c r="A132" s="16">
        <v>2021</v>
      </c>
      <c r="B132" s="23" t="s">
        <v>225</v>
      </c>
      <c r="C132" s="23" t="s">
        <v>227</v>
      </c>
      <c r="D132" s="23" t="s">
        <v>226</v>
      </c>
      <c r="E132" s="24" t="s">
        <v>170</v>
      </c>
      <c r="F132" s="23" t="s">
        <v>193</v>
      </c>
      <c r="G132" s="23" t="s">
        <v>229</v>
      </c>
      <c r="H132" s="23" t="s">
        <v>251</v>
      </c>
      <c r="I132" s="23" t="s">
        <v>1</v>
      </c>
      <c r="J132" s="25">
        <v>44288</v>
      </c>
      <c r="K132" s="26">
        <v>44439</v>
      </c>
      <c r="L132" s="26">
        <v>44651</v>
      </c>
      <c r="M132" s="5">
        <v>30</v>
      </c>
      <c r="N132" s="27">
        <v>1</v>
      </c>
      <c r="O132" s="28">
        <v>550</v>
      </c>
      <c r="P132" s="29">
        <f>ROUND(M132*O132,2)</f>
        <v>16500</v>
      </c>
      <c r="Q132" s="18">
        <v>0</v>
      </c>
      <c r="R132" s="10">
        <v>0</v>
      </c>
    </row>
    <row r="133" spans="1:18" s="8" customFormat="1" ht="100" customHeight="1" x14ac:dyDescent="0.3">
      <c r="A133" s="16">
        <v>2021</v>
      </c>
      <c r="B133" s="23" t="s">
        <v>225</v>
      </c>
      <c r="C133" s="23" t="s">
        <v>227</v>
      </c>
      <c r="D133" s="23" t="s">
        <v>226</v>
      </c>
      <c r="E133" s="24" t="s">
        <v>171</v>
      </c>
      <c r="F133" s="23" t="s">
        <v>194</v>
      </c>
      <c r="G133" s="23" t="s">
        <v>229</v>
      </c>
      <c r="H133" s="23" t="s">
        <v>251</v>
      </c>
      <c r="I133" s="23" t="s">
        <v>1</v>
      </c>
      <c r="J133" s="25">
        <v>44288</v>
      </c>
      <c r="K133" s="26">
        <v>44439</v>
      </c>
      <c r="L133" s="26">
        <v>44651</v>
      </c>
      <c r="M133" s="5">
        <v>30</v>
      </c>
      <c r="N133" s="27">
        <v>1</v>
      </c>
      <c r="O133" s="28">
        <v>550</v>
      </c>
      <c r="P133" s="29">
        <f>ROUND(M133*O133,2)</f>
        <v>16500</v>
      </c>
      <c r="Q133" s="18">
        <v>0</v>
      </c>
      <c r="R133" s="10">
        <v>0</v>
      </c>
    </row>
    <row r="134" spans="1:18" s="8" customFormat="1" ht="100" customHeight="1" x14ac:dyDescent="0.3">
      <c r="A134" s="16">
        <v>2021</v>
      </c>
      <c r="B134" s="23" t="s">
        <v>225</v>
      </c>
      <c r="C134" s="23" t="s">
        <v>227</v>
      </c>
      <c r="D134" s="23" t="s">
        <v>226</v>
      </c>
      <c r="E134" s="24" t="s">
        <v>172</v>
      </c>
      <c r="F134" s="23"/>
      <c r="G134" s="23" t="s">
        <v>229</v>
      </c>
      <c r="H134" s="23" t="s">
        <v>251</v>
      </c>
      <c r="I134" s="23" t="s">
        <v>11</v>
      </c>
      <c r="J134" s="25">
        <v>44292</v>
      </c>
      <c r="K134" s="26">
        <v>44474</v>
      </c>
      <c r="L134" s="26"/>
      <c r="M134" s="5">
        <f>+ROUND((19/22)+5+(3/20),4)</f>
        <v>6.0136000000000003</v>
      </c>
      <c r="N134" s="27">
        <v>1</v>
      </c>
      <c r="O134" s="28">
        <v>3000</v>
      </c>
      <c r="P134" s="29">
        <f>ROUND(M134*O134,2)</f>
        <v>18040.8</v>
      </c>
      <c r="Q134" s="18">
        <v>0</v>
      </c>
      <c r="R134" s="10">
        <v>0</v>
      </c>
    </row>
    <row r="135" spans="1:18" s="8" customFormat="1" ht="100" customHeight="1" x14ac:dyDescent="0.3">
      <c r="A135" s="16">
        <v>2021</v>
      </c>
      <c r="B135" s="23" t="s">
        <v>225</v>
      </c>
      <c r="C135" s="23" t="s">
        <v>227</v>
      </c>
      <c r="D135" s="23" t="s">
        <v>226</v>
      </c>
      <c r="E135" s="24" t="s">
        <v>176</v>
      </c>
      <c r="F135" s="23"/>
      <c r="G135" s="23" t="s">
        <v>229</v>
      </c>
      <c r="H135" s="23" t="s">
        <v>251</v>
      </c>
      <c r="I135" s="23" t="s">
        <v>11</v>
      </c>
      <c r="J135" s="25">
        <v>44305</v>
      </c>
      <c r="K135" s="26">
        <v>44651</v>
      </c>
      <c r="L135" s="26"/>
      <c r="M135" s="5">
        <f>+ROUND((10/22)+11,4)</f>
        <v>11.454499999999999</v>
      </c>
      <c r="N135" s="27">
        <v>1</v>
      </c>
      <c r="O135" s="28">
        <v>4000</v>
      </c>
      <c r="P135" s="29">
        <f>ROUND(M135*O135,2)</f>
        <v>45818</v>
      </c>
      <c r="Q135" s="18">
        <v>0</v>
      </c>
      <c r="R135" s="10">
        <v>21</v>
      </c>
    </row>
    <row r="136" spans="1:18" s="8" customFormat="1" ht="100" customHeight="1" x14ac:dyDescent="0.3">
      <c r="A136" s="16">
        <v>2021</v>
      </c>
      <c r="B136" s="23" t="s">
        <v>225</v>
      </c>
      <c r="C136" s="23" t="s">
        <v>227</v>
      </c>
      <c r="D136" s="23" t="s">
        <v>226</v>
      </c>
      <c r="E136" s="24" t="s">
        <v>175</v>
      </c>
      <c r="F136" s="23"/>
      <c r="G136" s="23" t="s">
        <v>229</v>
      </c>
      <c r="H136" s="23" t="s">
        <v>251</v>
      </c>
      <c r="I136" s="23" t="s">
        <v>11</v>
      </c>
      <c r="J136" s="25">
        <v>44301</v>
      </c>
      <c r="K136" s="26">
        <v>44575</v>
      </c>
      <c r="L136" s="26"/>
      <c r="M136" s="5">
        <f>+ROUND((12/22)+8+(10/21),4)</f>
        <v>9.0215999999999994</v>
      </c>
      <c r="N136" s="27">
        <v>1</v>
      </c>
      <c r="O136" s="28">
        <v>2000</v>
      </c>
      <c r="P136" s="29">
        <f>ROUND(M136*O136,2)</f>
        <v>18043.2</v>
      </c>
      <c r="Q136" s="18">
        <v>0</v>
      </c>
      <c r="R136" s="10">
        <v>0</v>
      </c>
    </row>
    <row r="137" spans="1:18" s="8" customFormat="1" ht="100" customHeight="1" x14ac:dyDescent="0.3">
      <c r="A137" s="16">
        <v>2021</v>
      </c>
      <c r="B137" s="23" t="s">
        <v>225</v>
      </c>
      <c r="C137" s="23" t="s">
        <v>227</v>
      </c>
      <c r="D137" s="23" t="s">
        <v>226</v>
      </c>
      <c r="E137" s="24" t="s">
        <v>178</v>
      </c>
      <c r="F137" s="23" t="s">
        <v>215</v>
      </c>
      <c r="G137" s="23" t="s">
        <v>229</v>
      </c>
      <c r="H137" s="23" t="s">
        <v>251</v>
      </c>
      <c r="I137" s="23" t="s">
        <v>11</v>
      </c>
      <c r="J137" s="25">
        <v>44319</v>
      </c>
      <c r="K137" s="26">
        <v>44439</v>
      </c>
      <c r="L137" s="26">
        <v>44651</v>
      </c>
      <c r="M137" s="5">
        <v>11</v>
      </c>
      <c r="N137" s="27">
        <v>1</v>
      </c>
      <c r="O137" s="28">
        <v>3000</v>
      </c>
      <c r="P137" s="29">
        <f>ROUND(M137*O137,2)</f>
        <v>33000</v>
      </c>
      <c r="Q137" s="18">
        <v>0</v>
      </c>
      <c r="R137" s="10">
        <v>0</v>
      </c>
    </row>
    <row r="138" spans="1:18" s="8" customFormat="1" ht="100" customHeight="1" x14ac:dyDescent="0.3">
      <c r="A138" s="16">
        <v>2021</v>
      </c>
      <c r="B138" s="23" t="s">
        <v>225</v>
      </c>
      <c r="C138" s="23" t="s">
        <v>227</v>
      </c>
      <c r="D138" s="23" t="s">
        <v>226</v>
      </c>
      <c r="E138" s="24" t="s">
        <v>180</v>
      </c>
      <c r="F138" s="23"/>
      <c r="G138" s="23" t="s">
        <v>229</v>
      </c>
      <c r="H138" s="23" t="s">
        <v>251</v>
      </c>
      <c r="I138" s="23" t="s">
        <v>11</v>
      </c>
      <c r="J138" s="25">
        <v>44329</v>
      </c>
      <c r="K138" s="26">
        <v>44651</v>
      </c>
      <c r="L138" s="26"/>
      <c r="M138" s="5">
        <f>+ROUND((14/18)+10,4)</f>
        <v>10.777799999999999</v>
      </c>
      <c r="N138" s="27">
        <v>1</v>
      </c>
      <c r="O138" s="28">
        <v>3500</v>
      </c>
      <c r="P138" s="29">
        <f>ROUND(M138*O138,2)</f>
        <v>37722.300000000003</v>
      </c>
      <c r="Q138" s="18">
        <v>3</v>
      </c>
      <c r="R138" s="10">
        <v>0</v>
      </c>
    </row>
    <row r="139" spans="1:18" s="8" customFormat="1" ht="100" customHeight="1" x14ac:dyDescent="0.3">
      <c r="A139" s="16">
        <v>2021</v>
      </c>
      <c r="B139" s="23" t="s">
        <v>225</v>
      </c>
      <c r="C139" s="23" t="s">
        <v>227</v>
      </c>
      <c r="D139" s="23" t="s">
        <v>226</v>
      </c>
      <c r="E139" s="24" t="s">
        <v>191</v>
      </c>
      <c r="F139" s="23" t="s">
        <v>190</v>
      </c>
      <c r="G139" s="23" t="s">
        <v>229</v>
      </c>
      <c r="H139" s="23" t="s">
        <v>251</v>
      </c>
      <c r="I139" s="23" t="s">
        <v>11</v>
      </c>
      <c r="J139" s="25">
        <v>44409</v>
      </c>
      <c r="K139" s="26">
        <v>44561</v>
      </c>
      <c r="L139" s="26"/>
      <c r="M139" s="5">
        <f>+ROUND((6/18)+7,4)</f>
        <v>7.3333000000000004</v>
      </c>
      <c r="N139" s="27">
        <v>1</v>
      </c>
      <c r="O139" s="28">
        <v>1950</v>
      </c>
      <c r="P139" s="29">
        <f>ROUND(M139*O139,2)</f>
        <v>14299.94</v>
      </c>
      <c r="Q139" s="18">
        <v>0</v>
      </c>
      <c r="R139" s="10">
        <v>12</v>
      </c>
    </row>
    <row r="140" spans="1:18" s="8" customFormat="1" ht="100" customHeight="1" x14ac:dyDescent="0.3">
      <c r="A140" s="16">
        <v>2021</v>
      </c>
      <c r="B140" s="23" t="s">
        <v>225</v>
      </c>
      <c r="C140" s="23" t="s">
        <v>227</v>
      </c>
      <c r="D140" s="23" t="s">
        <v>226</v>
      </c>
      <c r="E140" s="24" t="s">
        <v>182</v>
      </c>
      <c r="F140" s="23"/>
      <c r="G140" s="23" t="s">
        <v>229</v>
      </c>
      <c r="H140" s="23" t="s">
        <v>251</v>
      </c>
      <c r="I140" s="23" t="s">
        <v>1</v>
      </c>
      <c r="J140" s="25">
        <v>44341</v>
      </c>
      <c r="K140" s="26">
        <v>44561</v>
      </c>
      <c r="L140" s="26"/>
      <c r="M140" s="5">
        <v>28</v>
      </c>
      <c r="N140" s="27">
        <v>1</v>
      </c>
      <c r="O140" s="28">
        <v>700</v>
      </c>
      <c r="P140" s="29">
        <f>ROUND(M140*O140,2)</f>
        <v>19600</v>
      </c>
      <c r="Q140" s="18">
        <v>0</v>
      </c>
      <c r="R140" s="10">
        <v>0</v>
      </c>
    </row>
    <row r="141" spans="1:18" s="8" customFormat="1" ht="100" customHeight="1" x14ac:dyDescent="0.3">
      <c r="A141" s="16">
        <v>2021</v>
      </c>
      <c r="B141" s="23" t="s">
        <v>225</v>
      </c>
      <c r="C141" s="23" t="s">
        <v>227</v>
      </c>
      <c r="D141" s="23" t="s">
        <v>226</v>
      </c>
      <c r="E141" s="24" t="s">
        <v>184</v>
      </c>
      <c r="F141" s="23" t="s">
        <v>216</v>
      </c>
      <c r="G141" s="23" t="s">
        <v>229</v>
      </c>
      <c r="H141" s="23" t="s">
        <v>251</v>
      </c>
      <c r="I141" s="23" t="s">
        <v>11</v>
      </c>
      <c r="J141" s="25">
        <v>44361</v>
      </c>
      <c r="K141" s="26">
        <v>44561</v>
      </c>
      <c r="L141" s="26">
        <v>44651</v>
      </c>
      <c r="M141" s="5">
        <f>+ROUND((11/20)+9,4)</f>
        <v>9.5500000000000007</v>
      </c>
      <c r="N141" s="27">
        <v>1</v>
      </c>
      <c r="O141" s="28">
        <v>3000</v>
      </c>
      <c r="P141" s="29">
        <f>ROUND(M141*O141,2)</f>
        <v>28650</v>
      </c>
      <c r="Q141" s="18">
        <v>0</v>
      </c>
      <c r="R141" s="10">
        <v>0</v>
      </c>
    </row>
    <row r="142" spans="1:18" s="8" customFormat="1" ht="100" customHeight="1" x14ac:dyDescent="0.3">
      <c r="A142" s="16">
        <v>2021</v>
      </c>
      <c r="B142" s="23" t="s">
        <v>225</v>
      </c>
      <c r="C142" s="23" t="s">
        <v>227</v>
      </c>
      <c r="D142" s="23" t="s">
        <v>226</v>
      </c>
      <c r="E142" s="32" t="s">
        <v>187</v>
      </c>
      <c r="F142" s="23"/>
      <c r="G142" s="23" t="s">
        <v>229</v>
      </c>
      <c r="H142" s="23" t="s">
        <v>251</v>
      </c>
      <c r="I142" s="23" t="s">
        <v>1</v>
      </c>
      <c r="J142" s="25">
        <v>44370</v>
      </c>
      <c r="K142" s="26">
        <v>44561</v>
      </c>
      <c r="L142" s="35"/>
      <c r="M142" s="5">
        <v>44</v>
      </c>
      <c r="N142" s="27">
        <v>1</v>
      </c>
      <c r="O142" s="28">
        <v>450</v>
      </c>
      <c r="P142" s="29">
        <f>ROUND(M142*O142,2)</f>
        <v>19800</v>
      </c>
      <c r="Q142" s="18">
        <v>0</v>
      </c>
      <c r="R142" s="10">
        <v>0</v>
      </c>
    </row>
    <row r="143" spans="1:18" s="9" customFormat="1" ht="100" customHeight="1" x14ac:dyDescent="0.3">
      <c r="A143" s="16">
        <v>2021</v>
      </c>
      <c r="B143" s="23" t="s">
        <v>225</v>
      </c>
      <c r="C143" s="23" t="s">
        <v>227</v>
      </c>
      <c r="D143" s="23" t="s">
        <v>226</v>
      </c>
      <c r="E143" s="24" t="s">
        <v>199</v>
      </c>
      <c r="F143" s="24" t="s">
        <v>213</v>
      </c>
      <c r="G143" s="23" t="s">
        <v>229</v>
      </c>
      <c r="H143" s="23" t="s">
        <v>251</v>
      </c>
      <c r="I143" s="23" t="s">
        <v>1</v>
      </c>
      <c r="J143" s="25">
        <v>44452</v>
      </c>
      <c r="K143" s="26">
        <v>44561</v>
      </c>
      <c r="L143" s="26">
        <v>44742</v>
      </c>
      <c r="M143" s="5">
        <v>35</v>
      </c>
      <c r="N143" s="5">
        <v>1</v>
      </c>
      <c r="O143" s="5">
        <v>450</v>
      </c>
      <c r="P143" s="29">
        <f>ROUND(M143*O143,2)</f>
        <v>15750</v>
      </c>
      <c r="Q143" s="18">
        <v>0</v>
      </c>
      <c r="R143" s="10">
        <v>0</v>
      </c>
    </row>
    <row r="144" spans="1:18" s="8" customFormat="1" ht="100" customHeight="1" x14ac:dyDescent="0.3">
      <c r="A144" s="16">
        <v>2021</v>
      </c>
      <c r="B144" s="23" t="s">
        <v>225</v>
      </c>
      <c r="C144" s="23" t="s">
        <v>227</v>
      </c>
      <c r="D144" s="23" t="s">
        <v>226</v>
      </c>
      <c r="E144" s="24" t="s">
        <v>61</v>
      </c>
      <c r="F144" s="25" t="s">
        <v>217</v>
      </c>
      <c r="G144" s="23" t="s">
        <v>229</v>
      </c>
      <c r="H144" s="23" t="s">
        <v>251</v>
      </c>
      <c r="I144" s="23" t="s">
        <v>11</v>
      </c>
      <c r="J144" s="25">
        <v>43959</v>
      </c>
      <c r="K144" s="26">
        <v>44323</v>
      </c>
      <c r="L144" s="26">
        <v>44599</v>
      </c>
      <c r="M144" s="5">
        <v>21</v>
      </c>
      <c r="N144" s="5">
        <v>1</v>
      </c>
      <c r="O144" s="28">
        <v>2100</v>
      </c>
      <c r="P144" s="29">
        <f>ROUND(M144*O144,2)</f>
        <v>44100</v>
      </c>
      <c r="Q144" s="18">
        <v>0</v>
      </c>
      <c r="R144" s="10">
        <v>0</v>
      </c>
    </row>
    <row r="145" spans="1:18" s="8" customFormat="1" ht="100" customHeight="1" x14ac:dyDescent="0.3">
      <c r="A145" s="16">
        <v>2021</v>
      </c>
      <c r="B145" s="23" t="s">
        <v>225</v>
      </c>
      <c r="C145" s="23" t="s">
        <v>227</v>
      </c>
      <c r="D145" s="23" t="s">
        <v>226</v>
      </c>
      <c r="E145" s="24" t="s">
        <v>196</v>
      </c>
      <c r="F145" s="23" t="s">
        <v>219</v>
      </c>
      <c r="G145" s="23" t="s">
        <v>229</v>
      </c>
      <c r="H145" s="23" t="s">
        <v>251</v>
      </c>
      <c r="I145" s="23" t="s">
        <v>11</v>
      </c>
      <c r="J145" s="25">
        <v>44378</v>
      </c>
      <c r="K145" s="26">
        <v>44561</v>
      </c>
      <c r="L145" s="26">
        <v>44913</v>
      </c>
      <c r="M145" s="5">
        <v>18</v>
      </c>
      <c r="N145" s="5">
        <v>1</v>
      </c>
      <c r="O145" s="28">
        <v>3000</v>
      </c>
      <c r="P145" s="29">
        <f>ROUND(M145*O145,2)</f>
        <v>54000</v>
      </c>
      <c r="Q145" s="18">
        <v>0</v>
      </c>
      <c r="R145" s="10">
        <v>0</v>
      </c>
    </row>
    <row r="146" spans="1:18" s="8" customFormat="1" ht="100" customHeight="1" x14ac:dyDescent="0.3">
      <c r="A146" s="16">
        <v>2021</v>
      </c>
      <c r="B146" s="23" t="s">
        <v>225</v>
      </c>
      <c r="C146" s="23" t="s">
        <v>227</v>
      </c>
      <c r="D146" s="23" t="s">
        <v>226</v>
      </c>
      <c r="E146" s="24" t="s">
        <v>197</v>
      </c>
      <c r="F146" s="23"/>
      <c r="G146" s="23" t="s">
        <v>229</v>
      </c>
      <c r="H146" s="23" t="s">
        <v>251</v>
      </c>
      <c r="I146" s="23" t="s">
        <v>11</v>
      </c>
      <c r="J146" s="25">
        <v>44440</v>
      </c>
      <c r="K146" s="26">
        <v>44651</v>
      </c>
      <c r="L146" s="26"/>
      <c r="M146" s="5">
        <f>+ROUND(7,4)</f>
        <v>7</v>
      </c>
      <c r="N146" s="27">
        <v>0</v>
      </c>
      <c r="O146" s="28">
        <v>4000</v>
      </c>
      <c r="P146" s="29">
        <f>ROUND(M146*O146,2)</f>
        <v>28000</v>
      </c>
      <c r="Q146" s="18">
        <v>0</v>
      </c>
      <c r="R146" s="10">
        <v>0</v>
      </c>
    </row>
    <row r="147" spans="1:18" s="8" customFormat="1" ht="100" customHeight="1" x14ac:dyDescent="0.3">
      <c r="A147" s="16">
        <v>2021</v>
      </c>
      <c r="B147" s="23" t="s">
        <v>225</v>
      </c>
      <c r="C147" s="23" t="s">
        <v>227</v>
      </c>
      <c r="D147" s="23" t="s">
        <v>226</v>
      </c>
      <c r="E147" s="24" t="s">
        <v>204</v>
      </c>
      <c r="F147" s="25" t="s">
        <v>218</v>
      </c>
      <c r="G147" s="23" t="s">
        <v>229</v>
      </c>
      <c r="H147" s="23" t="s">
        <v>251</v>
      </c>
      <c r="I147" s="23" t="s">
        <v>11</v>
      </c>
      <c r="J147" s="25">
        <v>44487</v>
      </c>
      <c r="K147" s="26">
        <v>44651</v>
      </c>
      <c r="L147" s="26"/>
      <c r="M147" s="5">
        <f>+ROUND((10/20)+5,4)</f>
        <v>5.5</v>
      </c>
      <c r="N147" s="27">
        <v>0</v>
      </c>
      <c r="O147" s="28">
        <v>4000</v>
      </c>
      <c r="P147" s="29">
        <f>ROUND(M147*O147,2)</f>
        <v>22000</v>
      </c>
      <c r="Q147" s="18">
        <v>0</v>
      </c>
      <c r="R147" s="10">
        <v>0</v>
      </c>
    </row>
    <row r="148" spans="1:18" s="8" customFormat="1" ht="100" customHeight="1" x14ac:dyDescent="0.3">
      <c r="A148" s="16">
        <v>2021</v>
      </c>
      <c r="B148" s="23" t="s">
        <v>225</v>
      </c>
      <c r="C148" s="23" t="s">
        <v>227</v>
      </c>
      <c r="D148" s="23" t="s">
        <v>226</v>
      </c>
      <c r="E148" s="24" t="s">
        <v>203</v>
      </c>
      <c r="F148" s="24" t="s">
        <v>212</v>
      </c>
      <c r="G148" s="23" t="s">
        <v>229</v>
      </c>
      <c r="H148" s="23" t="s">
        <v>251</v>
      </c>
      <c r="I148" s="23" t="s">
        <v>11</v>
      </c>
      <c r="J148" s="25">
        <v>44487</v>
      </c>
      <c r="K148" s="26">
        <v>44651</v>
      </c>
      <c r="L148" s="26"/>
      <c r="M148" s="5">
        <f>+ROUND((10/20)+5,4)</f>
        <v>5.5</v>
      </c>
      <c r="N148" s="27">
        <v>0</v>
      </c>
      <c r="O148" s="28">
        <v>3000</v>
      </c>
      <c r="P148" s="29">
        <f>ROUND(M148*O148,2)</f>
        <v>16500</v>
      </c>
      <c r="Q148" s="18">
        <v>0</v>
      </c>
      <c r="R148" s="10">
        <v>0</v>
      </c>
    </row>
    <row r="149" spans="1:18" s="8" customFormat="1" ht="100" customHeight="1" x14ac:dyDescent="0.3">
      <c r="A149" s="16">
        <v>2021</v>
      </c>
      <c r="B149" s="23" t="s">
        <v>225</v>
      </c>
      <c r="C149" s="23" t="s">
        <v>227</v>
      </c>
      <c r="D149" s="23" t="s">
        <v>226</v>
      </c>
      <c r="E149" s="24" t="s">
        <v>205</v>
      </c>
      <c r="F149" s="23"/>
      <c r="G149" s="23" t="s">
        <v>229</v>
      </c>
      <c r="H149" s="23" t="s">
        <v>251</v>
      </c>
      <c r="I149" s="23" t="s">
        <v>11</v>
      </c>
      <c r="J149" s="25">
        <v>44501</v>
      </c>
      <c r="K149" s="26">
        <v>44651</v>
      </c>
      <c r="L149" s="26"/>
      <c r="M149" s="5">
        <f>+ROUND(5,4)</f>
        <v>5</v>
      </c>
      <c r="N149" s="27">
        <v>0</v>
      </c>
      <c r="O149" s="28">
        <v>5000</v>
      </c>
      <c r="P149" s="29">
        <f>ROUND(M149*O149,2)</f>
        <v>25000</v>
      </c>
      <c r="Q149" s="18">
        <v>0</v>
      </c>
      <c r="R149" s="10">
        <v>0</v>
      </c>
    </row>
    <row r="150" spans="1:18" s="8" customFormat="1" ht="100" customHeight="1" x14ac:dyDescent="0.3">
      <c r="A150" s="16">
        <v>2021</v>
      </c>
      <c r="B150" s="23" t="s">
        <v>225</v>
      </c>
      <c r="C150" s="23" t="s">
        <v>227</v>
      </c>
      <c r="D150" s="23" t="s">
        <v>226</v>
      </c>
      <c r="E150" s="24" t="s">
        <v>206</v>
      </c>
      <c r="F150" s="23"/>
      <c r="G150" s="23" t="s">
        <v>229</v>
      </c>
      <c r="H150" s="23" t="s">
        <v>251</v>
      </c>
      <c r="I150" s="23" t="s">
        <v>11</v>
      </c>
      <c r="J150" s="25">
        <v>44504</v>
      </c>
      <c r="K150" s="26">
        <v>44651</v>
      </c>
      <c r="L150" s="26"/>
      <c r="M150" s="5">
        <f>+ROUND((19/22)+4,4)</f>
        <v>4.8635999999999999</v>
      </c>
      <c r="N150" s="27">
        <v>0</v>
      </c>
      <c r="O150" s="28">
        <v>5000</v>
      </c>
      <c r="P150" s="29">
        <f>ROUND(M150*O150,2)</f>
        <v>24318</v>
      </c>
      <c r="Q150" s="18">
        <v>0</v>
      </c>
      <c r="R150" s="10">
        <v>0</v>
      </c>
    </row>
    <row r="151" spans="1:18" s="9" customFormat="1" ht="100" customHeight="1" x14ac:dyDescent="0.3">
      <c r="A151" s="16">
        <v>2021</v>
      </c>
      <c r="B151" s="23" t="s">
        <v>225</v>
      </c>
      <c r="C151" s="23" t="s">
        <v>227</v>
      </c>
      <c r="D151" s="23" t="s">
        <v>226</v>
      </c>
      <c r="E151" s="24" t="s">
        <v>207</v>
      </c>
      <c r="F151" s="23"/>
      <c r="G151" s="23" t="s">
        <v>229</v>
      </c>
      <c r="H151" s="23" t="s">
        <v>251</v>
      </c>
      <c r="I151" s="23" t="s">
        <v>1</v>
      </c>
      <c r="J151" s="25">
        <v>44523</v>
      </c>
      <c r="K151" s="26">
        <v>44651</v>
      </c>
      <c r="L151" s="35"/>
      <c r="M151" s="5">
        <v>35</v>
      </c>
      <c r="N151" s="5">
        <v>1</v>
      </c>
      <c r="O151" s="5">
        <v>450</v>
      </c>
      <c r="P151" s="29">
        <f>ROUND(M151*O151,2)</f>
        <v>15750</v>
      </c>
      <c r="Q151" s="18">
        <v>0</v>
      </c>
      <c r="R151" s="10">
        <v>0</v>
      </c>
    </row>
    <row r="152" spans="1:18" s="8" customFormat="1" ht="100" customHeight="1" x14ac:dyDescent="0.3">
      <c r="A152" s="16">
        <v>2021</v>
      </c>
      <c r="B152" s="23" t="s">
        <v>225</v>
      </c>
      <c r="C152" s="23" t="s">
        <v>227</v>
      </c>
      <c r="D152" s="23" t="s">
        <v>226</v>
      </c>
      <c r="E152" s="24" t="s">
        <v>221</v>
      </c>
      <c r="F152" s="23"/>
      <c r="G152" s="23" t="s">
        <v>229</v>
      </c>
      <c r="H152" s="23" t="s">
        <v>251</v>
      </c>
      <c r="I152" s="23" t="s">
        <v>11</v>
      </c>
      <c r="J152" s="25">
        <v>44564</v>
      </c>
      <c r="K152" s="26">
        <v>44865</v>
      </c>
      <c r="L152" s="26"/>
      <c r="M152" s="5">
        <f>+ROUND(10,4)</f>
        <v>10</v>
      </c>
      <c r="N152" s="27">
        <v>1</v>
      </c>
      <c r="O152" s="28">
        <v>1950</v>
      </c>
      <c r="P152" s="29">
        <f>ROUND(M152*O152,2)</f>
        <v>19500</v>
      </c>
      <c r="Q152" s="18">
        <v>0</v>
      </c>
      <c r="R152" s="10">
        <v>0</v>
      </c>
    </row>
    <row r="153" spans="1:18" s="9" customFormat="1" ht="100" customHeight="1" x14ac:dyDescent="0.3">
      <c r="A153" s="16">
        <v>2021</v>
      </c>
      <c r="B153" s="30" t="s">
        <v>255</v>
      </c>
      <c r="C153" s="23" t="s">
        <v>240</v>
      </c>
      <c r="D153" s="23" t="s">
        <v>290</v>
      </c>
      <c r="E153" s="24" t="s">
        <v>277</v>
      </c>
      <c r="F153" s="23"/>
      <c r="G153" s="23" t="s">
        <v>117</v>
      </c>
      <c r="H153" s="23" t="s">
        <v>284</v>
      </c>
      <c r="I153" s="23" t="s">
        <v>1</v>
      </c>
      <c r="J153" s="25">
        <v>44439</v>
      </c>
      <c r="K153" s="26"/>
      <c r="L153" s="35"/>
      <c r="M153" s="5"/>
      <c r="N153" s="5"/>
      <c r="O153" s="5"/>
      <c r="P153" s="29">
        <v>19900</v>
      </c>
      <c r="Q153" s="18"/>
      <c r="R153" s="10"/>
    </row>
    <row r="154" spans="1:18" s="9" customFormat="1" ht="100" customHeight="1" x14ac:dyDescent="0.3">
      <c r="A154" s="16">
        <v>2021</v>
      </c>
      <c r="B154" s="30" t="s">
        <v>289</v>
      </c>
      <c r="C154" s="23" t="s">
        <v>240</v>
      </c>
      <c r="D154" s="23" t="s">
        <v>286</v>
      </c>
      <c r="E154" s="23" t="s">
        <v>278</v>
      </c>
      <c r="F154" s="23"/>
      <c r="G154" s="23" t="s">
        <v>192</v>
      </c>
      <c r="H154" s="23" t="s">
        <v>285</v>
      </c>
      <c r="I154" s="23" t="s">
        <v>1</v>
      </c>
      <c r="J154" s="25">
        <v>44439</v>
      </c>
      <c r="K154" s="36"/>
      <c r="L154" s="37">
        <v>44913</v>
      </c>
      <c r="M154" s="5"/>
      <c r="N154" s="5"/>
      <c r="O154" s="5"/>
      <c r="P154" s="29">
        <v>19900</v>
      </c>
      <c r="Q154" s="18"/>
      <c r="R154" s="10"/>
    </row>
    <row r="155" spans="1:18" s="9" customFormat="1" ht="100" customHeight="1" x14ac:dyDescent="0.3">
      <c r="A155" s="16">
        <v>2021</v>
      </c>
      <c r="B155" s="23" t="s">
        <v>297</v>
      </c>
      <c r="C155" s="23" t="s">
        <v>293</v>
      </c>
      <c r="D155" s="32" t="s">
        <v>292</v>
      </c>
      <c r="E155" s="23" t="s">
        <v>279</v>
      </c>
      <c r="F155" s="23"/>
      <c r="G155" s="23" t="s">
        <v>97</v>
      </c>
      <c r="H155" s="23" t="s">
        <v>291</v>
      </c>
      <c r="I155" s="23" t="s">
        <v>1</v>
      </c>
      <c r="J155" s="25">
        <v>44347</v>
      </c>
      <c r="K155" s="36"/>
      <c r="L155" s="38">
        <v>44913</v>
      </c>
      <c r="M155" s="5"/>
      <c r="N155" s="5"/>
      <c r="O155" s="5"/>
      <c r="P155" s="29">
        <v>97000</v>
      </c>
      <c r="Q155" s="18"/>
      <c r="R155" s="10"/>
    </row>
    <row r="156" spans="1:18" s="9" customFormat="1" ht="100" customHeight="1" x14ac:dyDescent="0.3">
      <c r="A156" s="16">
        <v>2021</v>
      </c>
      <c r="B156" s="23" t="s">
        <v>298</v>
      </c>
      <c r="C156" s="23" t="s">
        <v>293</v>
      </c>
      <c r="D156" s="23" t="s">
        <v>294</v>
      </c>
      <c r="E156" s="23" t="s">
        <v>280</v>
      </c>
      <c r="F156" s="23"/>
      <c r="G156" s="23" t="s">
        <v>276</v>
      </c>
      <c r="H156" s="23" t="s">
        <v>296</v>
      </c>
      <c r="I156" s="23" t="s">
        <v>118</v>
      </c>
      <c r="J156" s="25">
        <v>44328</v>
      </c>
      <c r="K156" s="36"/>
      <c r="L156" s="39">
        <v>44511</v>
      </c>
      <c r="M156" s="5"/>
      <c r="N156" s="5"/>
      <c r="O156" s="5"/>
      <c r="P156" s="29">
        <v>430008</v>
      </c>
      <c r="Q156" s="18"/>
      <c r="R156" s="10"/>
    </row>
    <row r="157" spans="1:18" s="9" customFormat="1" ht="100" customHeight="1" x14ac:dyDescent="0.3">
      <c r="A157" s="16">
        <v>2021</v>
      </c>
      <c r="B157" s="23" t="s">
        <v>299</v>
      </c>
      <c r="C157" s="23" t="s">
        <v>293</v>
      </c>
      <c r="D157" s="23" t="s">
        <v>287</v>
      </c>
      <c r="E157" s="23" t="s">
        <v>281</v>
      </c>
      <c r="F157" s="23"/>
      <c r="G157" s="25" t="s">
        <v>97</v>
      </c>
      <c r="H157" s="23" t="s">
        <v>291</v>
      </c>
      <c r="I157" s="23" t="s">
        <v>1</v>
      </c>
      <c r="J157" s="25">
        <v>44333</v>
      </c>
      <c r="K157" s="36"/>
      <c r="L157" s="35"/>
      <c r="M157" s="5"/>
      <c r="N157" s="5"/>
      <c r="O157" s="5"/>
      <c r="P157" s="29">
        <v>38000</v>
      </c>
      <c r="Q157" s="18"/>
      <c r="R157" s="10"/>
    </row>
    <row r="158" spans="1:18" s="9" customFormat="1" ht="100" customHeight="1" x14ac:dyDescent="0.3">
      <c r="A158" s="16">
        <v>2021</v>
      </c>
      <c r="B158" s="30" t="s">
        <v>300</v>
      </c>
      <c r="C158" s="23" t="s">
        <v>240</v>
      </c>
      <c r="D158" s="23" t="s">
        <v>288</v>
      </c>
      <c r="E158" s="23" t="s">
        <v>282</v>
      </c>
      <c r="F158" s="23"/>
      <c r="G158" s="23" t="s">
        <v>185</v>
      </c>
      <c r="H158" s="23" t="s">
        <v>303</v>
      </c>
      <c r="I158" s="23" t="s">
        <v>1</v>
      </c>
      <c r="J158" s="25">
        <v>44350</v>
      </c>
      <c r="K158" s="36"/>
      <c r="L158" s="26">
        <v>44484</v>
      </c>
      <c r="M158" s="5"/>
      <c r="N158" s="5"/>
      <c r="O158" s="5"/>
      <c r="P158" s="29">
        <v>45454.53</v>
      </c>
      <c r="Q158" s="18"/>
      <c r="R158" s="10"/>
    </row>
    <row r="159" spans="1:18" s="9" customFormat="1" ht="100" customHeight="1" x14ac:dyDescent="0.3">
      <c r="A159" s="16">
        <v>2021</v>
      </c>
      <c r="B159" s="23" t="s">
        <v>301</v>
      </c>
      <c r="C159" s="23" t="s">
        <v>293</v>
      </c>
      <c r="D159" s="23" t="s">
        <v>295</v>
      </c>
      <c r="E159" s="23" t="s">
        <v>283</v>
      </c>
      <c r="F159" s="23"/>
      <c r="G159" s="23" t="s">
        <v>200</v>
      </c>
      <c r="H159" s="23" t="s">
        <v>272</v>
      </c>
      <c r="I159" s="23" t="s">
        <v>118</v>
      </c>
      <c r="J159" s="25">
        <v>44274</v>
      </c>
      <c r="K159" s="36"/>
      <c r="L159" s="35"/>
      <c r="M159" s="5"/>
      <c r="N159" s="5"/>
      <c r="O159" s="5"/>
      <c r="P159" s="29">
        <v>168000</v>
      </c>
      <c r="Q159" s="18"/>
      <c r="R159" s="10"/>
    </row>
    <row r="160" spans="1:18" s="9" customFormat="1" ht="100" customHeight="1" x14ac:dyDescent="0.3">
      <c r="A160" s="16">
        <v>2021</v>
      </c>
      <c r="B160" s="23" t="s">
        <v>307</v>
      </c>
      <c r="C160" s="23" t="s">
        <v>78</v>
      </c>
      <c r="D160" s="23" t="s">
        <v>310</v>
      </c>
      <c r="E160" s="24" t="s">
        <v>188</v>
      </c>
      <c r="F160" s="23"/>
      <c r="G160" s="23" t="s">
        <v>304</v>
      </c>
      <c r="H160" s="23" t="s">
        <v>305</v>
      </c>
      <c r="I160" s="23" t="s">
        <v>1</v>
      </c>
      <c r="J160" s="25">
        <v>44298</v>
      </c>
      <c r="K160" s="36"/>
      <c r="L160" s="35"/>
      <c r="M160" s="5"/>
      <c r="N160" s="5"/>
      <c r="O160" s="5"/>
      <c r="P160" s="29">
        <v>19900</v>
      </c>
      <c r="Q160" s="18"/>
      <c r="R160" s="10"/>
    </row>
    <row r="161" spans="1:18" s="9" customFormat="1" ht="100" customHeight="1" x14ac:dyDescent="0.3">
      <c r="A161" s="16">
        <v>2021</v>
      </c>
      <c r="B161" s="23" t="s">
        <v>308</v>
      </c>
      <c r="C161" s="23" t="s">
        <v>309</v>
      </c>
      <c r="D161" s="23" t="s">
        <v>311</v>
      </c>
      <c r="E161" s="24" t="s">
        <v>306</v>
      </c>
      <c r="F161" s="23"/>
      <c r="G161" s="23" t="s">
        <v>304</v>
      </c>
      <c r="H161" s="23" t="s">
        <v>305</v>
      </c>
      <c r="I161" s="23" t="s">
        <v>1</v>
      </c>
      <c r="J161" s="25">
        <v>44467</v>
      </c>
      <c r="K161" s="36"/>
      <c r="L161" s="35"/>
      <c r="M161" s="5"/>
      <c r="N161" s="5"/>
      <c r="O161" s="5"/>
      <c r="P161" s="29">
        <v>19900</v>
      </c>
      <c r="Q161" s="18">
        <v>19900</v>
      </c>
      <c r="R161" s="10">
        <v>19900</v>
      </c>
    </row>
    <row r="162" spans="1:18" s="9" customFormat="1" ht="100" customHeight="1" x14ac:dyDescent="0.3">
      <c r="A162" s="16">
        <v>2021</v>
      </c>
      <c r="B162" s="23" t="s">
        <v>225</v>
      </c>
      <c r="C162" s="23" t="s">
        <v>293</v>
      </c>
      <c r="D162" s="23" t="s">
        <v>226</v>
      </c>
      <c r="E162" s="24" t="s">
        <v>306</v>
      </c>
      <c r="F162" s="23"/>
      <c r="G162" s="23" t="s">
        <v>229</v>
      </c>
      <c r="H162" s="23" t="s">
        <v>251</v>
      </c>
      <c r="I162" s="23" t="s">
        <v>1</v>
      </c>
      <c r="J162" s="25">
        <v>44417</v>
      </c>
      <c r="K162" s="36"/>
      <c r="L162" s="26">
        <v>44604</v>
      </c>
      <c r="M162" s="5"/>
      <c r="N162" s="5"/>
      <c r="O162" s="5"/>
      <c r="P162" s="29">
        <v>17500</v>
      </c>
      <c r="Q162" s="18">
        <v>17500</v>
      </c>
      <c r="R162" s="10">
        <v>17500</v>
      </c>
    </row>
  </sheetData>
  <autoFilter ref="A1:R162" xr:uid="{00000000-0009-0000-0000-000005000000}"/>
  <customSheetViews>
    <customSheetView guid="{96D7E6B3-806C-4656-8C3C-2100FEC401A6}" showAutoFilter="1">
      <pane ySplit="3" topLeftCell="A34" activePane="bottomLeft" state="frozen"/>
      <selection pane="bottomLeft" activeCell="J49" sqref="J49"/>
      <pageMargins left="0.7" right="0.7" top="0.75" bottom="0.75" header="0.3" footer="0.3"/>
      <pageSetup paperSize="9" orientation="portrait" r:id="rId1"/>
      <autoFilter ref="A3:AK88" xr:uid="{E9AA433F-91A2-4CA8-8D69-199E1E8CA451}"/>
    </customSheetView>
    <customSheetView guid="{995F2574-60D6-4F76-A75E-A5A90F9DF862}" filter="1" showAutoFilter="1">
      <pane ySplit="32" topLeftCell="A34" activePane="bottomLeft" state="frozen"/>
      <selection pane="bottomLeft" activeCell="I97" sqref="I97"/>
      <pageMargins left="0.7" right="0.7" top="0.75" bottom="0.75" header="0.3" footer="0.3"/>
      <pageSetup paperSize="9" orientation="portrait" r:id="rId2"/>
      <autoFilter ref="A3:AK88" xr:uid="{CC2782ED-2762-4EE9-B970-0716E733E045}">
        <filterColumn colId="7">
          <filters>
            <filter val="Aleksey Ilushin"/>
          </filters>
        </filterColumn>
      </autoFilter>
    </customSheetView>
  </customSheetViews>
  <dataValidations count="2">
    <dataValidation type="list" allowBlank="1" showInputMessage="1" showErrorMessage="1" sqref="I144:I150 I152 I32:I83 I97:I142" xr:uid="{00000000-0002-0000-0500-000003000000}">
      <formula1>$E$1:$E$1</formula1>
    </dataValidation>
    <dataValidation type="list" allowBlank="1" showInputMessage="1" showErrorMessage="1" sqref="G153:G161 G93:G95" xr:uid="{7EE1182E-772E-421D-84A7-E2D13A1AAEB9}">
      <formula1>#REF!</formula1>
    </dataValidation>
  </dataValidations>
  <pageMargins left="0.7" right="0.7" top="0.75" bottom="0.75" header="0.3" footer="0.3"/>
  <pageSetup paperSize="9" scale="44"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5000000}">
          <x14:formula1>
            <xm:f>#REF!</xm:f>
          </x14:formula1>
          <xm:sqref>H10:H15 I2:I9 I16:I31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Jurga Skrebytė</dc:creator>
  <cp:lastModifiedBy>Austėja Vilkelytė</cp:lastModifiedBy>
  <cp:lastPrinted>2021-01-27T16:08:38Z</cp:lastPrinted>
  <dcterms:created xsi:type="dcterms:W3CDTF">2018-10-02T12:58:34Z</dcterms:created>
  <dcterms:modified xsi:type="dcterms:W3CDTF">2022-02-16T16:22:28Z</dcterms:modified>
</cp:coreProperties>
</file>